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omments/comment1.xml" ContentType="application/vnd.openxmlformats-officedocument.spreadsheetml.comments+xml"/>
  <Override PartName="/xl/worksheets/sheet2.xml" ContentType="application/vnd.openxmlformats-officedocument.spreadsheetml.worksheet+xml"/>
  <Override PartName="/xl/comments/comment2.xml" ContentType="application/vnd.openxmlformats-officedocument.spreadsheetml.comments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CF" sheetId="1" state="visible" r:id="rId1"/>
    <sheet xmlns:r="http://schemas.openxmlformats.org/officeDocument/2006/relationships" name="WACC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5">
    <numFmt numFmtId="164" formatCode="$#,##0.00"/>
    <numFmt numFmtId="165" formatCode="$#,##0;($#,##0);&quot;-&quot;"/>
    <numFmt numFmtId="166" formatCode="0.0%"/>
    <numFmt numFmtId="167" formatCode="0.0"/>
    <numFmt numFmtId="168" formatCode="0.0000"/>
  </numFmts>
  <fonts count="10">
    <font>
      <name val="Calibri"/>
      <family val="2"/>
      <color theme="1"/>
      <sz val="11"/>
      <scheme val="minor"/>
    </font>
    <font>
      <name val="Arial"/>
      <b val="1"/>
      <color rgb="00000000"/>
      <sz val="14"/>
    </font>
    <font>
      <name val="Arial"/>
      <i val="1"/>
      <sz val="10"/>
    </font>
    <font>
      <name val="Arial"/>
      <b val="1"/>
      <color rgb="00FFFFFF"/>
      <sz val="10"/>
    </font>
    <font>
      <name val="Arial"/>
      <color rgb="00000000"/>
      <sz val="10"/>
    </font>
    <font>
      <name val="Arial"/>
      <color rgb="000000FF"/>
      <sz val="10"/>
    </font>
    <font>
      <name val="Arial"/>
      <b val="1"/>
      <color rgb="00000000"/>
      <sz val="10"/>
    </font>
    <font>
      <name val="Arial"/>
      <b val="1"/>
      <color rgb="00008000"/>
      <sz val="12"/>
    </font>
    <font>
      <name val="Arial"/>
      <color rgb="00008000"/>
      <sz val="10"/>
    </font>
    <font>
      <name val="Arial"/>
      <b val="1"/>
      <color rgb="00000000"/>
      <sz val="12"/>
    </font>
  </fonts>
  <fills count="5">
    <fill>
      <patternFill/>
    </fill>
    <fill>
      <patternFill patternType="gray125"/>
    </fill>
    <fill>
      <patternFill patternType="solid">
        <fgColor rgb="004472C4"/>
      </patternFill>
    </fill>
    <fill>
      <patternFill patternType="solid">
        <fgColor rgb="00FFFF00"/>
      </patternFill>
    </fill>
    <fill>
      <patternFill patternType="solid">
        <fgColor rgb="00D9E1F2"/>
      </patternFill>
    </fill>
  </fills>
  <borders count="10">
    <border>
      <left/>
      <right/>
      <top/>
      <bottom/>
      <diagonal/>
    </border>
    <border>
      <left style="medium"/>
      <right style="thin"/>
      <top style="medium"/>
      <bottom style="thin"/>
    </border>
    <border>
      <left style="thin"/>
      <right style="medium"/>
      <top style="medium"/>
      <bottom style="thin"/>
    </border>
    <border>
      <left style="medium"/>
      <right style="thin"/>
      <top style="thin"/>
      <bottom style="thin"/>
    </border>
    <border>
      <left style="thin"/>
      <right style="medium"/>
      <top style="thin"/>
      <bottom style="thin"/>
    </border>
    <border>
      <left style="medium"/>
      <right style="thin"/>
      <top style="thin"/>
      <bottom style="medium"/>
    </border>
    <border>
      <left style="thin"/>
      <right style="medium"/>
      <top style="thin"/>
      <bottom style="medium"/>
    </border>
    <border>
      <left style="thin"/>
      <right style="thin"/>
      <top style="medium"/>
      <bottom style="thin"/>
    </border>
    <border>
      <left style="thin"/>
      <right style="thin"/>
      <top style="thin"/>
      <bottom style="thin"/>
    </border>
    <border>
      <left style="thin"/>
      <right style="thin"/>
      <top style="thin"/>
      <bottom style="medium"/>
    </border>
  </borders>
  <cellStyleXfs count="1">
    <xf numFmtId="0" fontId="0" fillId="0" borderId="0"/>
  </cellStyleXfs>
  <cellXfs count="77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6" fillId="0" borderId="0" pivotButton="0" quotePrefix="0" xfId="0"/>
    <xf numFmtId="0" fontId="5" fillId="3" borderId="0" pivotButton="0" quotePrefix="0" xfId="0"/>
    <xf numFmtId="0" fontId="4" fillId="0" borderId="0" pivotButton="0" quotePrefix="0" xfId="0"/>
    <xf numFmtId="0" fontId="3" fillId="2" borderId="1" applyAlignment="1" pivotButton="0" quotePrefix="0" xfId="0">
      <alignment horizontal="center"/>
    </xf>
    <xf numFmtId="0" fontId="3" fillId="2" borderId="7" applyAlignment="1" pivotButton="0" quotePrefix="0" xfId="0">
      <alignment horizontal="center"/>
    </xf>
    <xf numFmtId="0" fontId="3" fillId="2" borderId="2" applyAlignment="1" pivotButton="0" quotePrefix="0" xfId="0">
      <alignment horizontal="center"/>
    </xf>
    <xf numFmtId="0" fontId="4" fillId="0" borderId="3" pivotButton="0" quotePrefix="0" xfId="0"/>
    <xf numFmtId="164" fontId="8" fillId="0" borderId="8" pivotButton="0" quotePrefix="0" xfId="0"/>
    <xf numFmtId="0" fontId="0" fillId="0" borderId="8" pivotButton="0" quotePrefix="0" xfId="0"/>
    <xf numFmtId="0" fontId="0" fillId="0" borderId="4" pivotButton="0" quotePrefix="0" xfId="0"/>
    <xf numFmtId="3" fontId="8" fillId="0" borderId="8" pivotButton="0" quotePrefix="0" xfId="0"/>
    <xf numFmtId="165" fontId="8" fillId="0" borderId="8" pivotButton="0" quotePrefix="0" xfId="0"/>
    <xf numFmtId="0" fontId="4" fillId="0" borderId="5" pivotButton="0" quotePrefix="0" xfId="0"/>
    <xf numFmtId="166" fontId="8" fillId="0" borderId="9" pivotButton="0" quotePrefix="0" xfId="0"/>
    <xf numFmtId="0" fontId="0" fillId="0" borderId="9" pivotButton="0" quotePrefix="0" xfId="0"/>
    <xf numFmtId="0" fontId="0" fillId="0" borderId="6" pivotButton="0" quotePrefix="0" xfId="0"/>
    <xf numFmtId="0" fontId="3" fillId="2" borderId="0" applyAlignment="1" pivotButton="0" quotePrefix="0" xfId="0">
      <alignment horizontal="center"/>
    </xf>
    <xf numFmtId="0" fontId="6" fillId="4" borderId="3" applyAlignment="1" pivotButton="0" quotePrefix="0" xfId="0">
      <alignment horizontal="center"/>
    </xf>
    <xf numFmtId="0" fontId="6" fillId="4" borderId="8" applyAlignment="1" pivotButton="0" quotePrefix="0" xfId="0">
      <alignment horizontal="center"/>
    </xf>
    <xf numFmtId="0" fontId="6" fillId="4" borderId="4" applyAlignment="1" pivotButton="0" quotePrefix="0" xfId="0">
      <alignment horizontal="center"/>
    </xf>
    <xf numFmtId="166" fontId="5" fillId="0" borderId="8" pivotButton="0" quotePrefix="0" xfId="0"/>
    <xf numFmtId="166" fontId="5" fillId="0" borderId="4" pivotButton="0" quotePrefix="0" xfId="0"/>
    <xf numFmtId="166" fontId="5" fillId="0" borderId="9" pivotButton="0" quotePrefix="0" xfId="0"/>
    <xf numFmtId="0" fontId="5" fillId="0" borderId="9" pivotButton="0" quotePrefix="0" xfId="0"/>
    <xf numFmtId="0" fontId="6" fillId="0" borderId="3" pivotButton="0" quotePrefix="0" xfId="0"/>
    <xf numFmtId="166" fontId="4" fillId="0" borderId="8" pivotButton="0" quotePrefix="0" xfId="0"/>
    <xf numFmtId="166" fontId="4" fillId="0" borderId="4" pivotButton="0" quotePrefix="0" xfId="0"/>
    <xf numFmtId="0" fontId="6" fillId="0" borderId="5" pivotButton="0" quotePrefix="0" xfId="0"/>
    <xf numFmtId="166" fontId="4" fillId="0" borderId="9" pivotButton="0" quotePrefix="0" xfId="0"/>
    <xf numFmtId="2" fontId="5" fillId="0" borderId="4" pivotButton="0" quotePrefix="0" xfId="0"/>
    <xf numFmtId="166" fontId="4" fillId="0" borderId="6" pivotButton="0" quotePrefix="0" xfId="0"/>
    <xf numFmtId="49" fontId="5" fillId="0" borderId="4" pivotButton="0" quotePrefix="0" xfId="0"/>
    <xf numFmtId="164" fontId="5" fillId="0" borderId="4" pivotButton="0" quotePrefix="0" xfId="0"/>
    <xf numFmtId="3" fontId="5" fillId="0" borderId="4" pivotButton="0" quotePrefix="0" xfId="0"/>
    <xf numFmtId="165" fontId="4" fillId="0" borderId="4" pivotButton="0" quotePrefix="0" xfId="0"/>
    <xf numFmtId="0" fontId="0" fillId="0" borderId="3" pivotButton="0" quotePrefix="0" xfId="0"/>
    <xf numFmtId="165" fontId="5" fillId="0" borderId="4" pivotButton="0" quotePrefix="0" xfId="0"/>
    <xf numFmtId="165" fontId="4" fillId="0" borderId="6" pivotButton="0" quotePrefix="0" xfId="0"/>
    <xf numFmtId="166" fontId="7" fillId="0" borderId="9" pivotButton="0" quotePrefix="0" xfId="0"/>
    <xf numFmtId="164" fontId="8" fillId="0" borderId="8" pivotButton="0" quotePrefix="0" xfId="0"/>
    <xf numFmtId="165" fontId="8" fillId="0" borderId="8" pivotButton="0" quotePrefix="0" xfId="0"/>
    <xf numFmtId="166" fontId="8" fillId="0" borderId="9" pivotButton="0" quotePrefix="0" xfId="0"/>
    <xf numFmtId="166" fontId="5" fillId="0" borderId="8" pivotButton="0" quotePrefix="0" xfId="0"/>
    <xf numFmtId="166" fontId="5" fillId="0" borderId="4" pivotButton="0" quotePrefix="0" xfId="0"/>
    <xf numFmtId="166" fontId="5" fillId="0" borderId="9" pivotButton="0" quotePrefix="0" xfId="0"/>
    <xf numFmtId="166" fontId="4" fillId="0" borderId="8" pivotButton="0" quotePrefix="0" xfId="0"/>
    <xf numFmtId="166" fontId="4" fillId="0" borderId="4" pivotButton="0" quotePrefix="0" xfId="0"/>
    <xf numFmtId="166" fontId="4" fillId="0" borderId="9" pivotButton="0" quotePrefix="0" xfId="0"/>
    <xf numFmtId="165" fontId="5" fillId="0" borderId="8" pivotButton="0" quotePrefix="0" xfId="0"/>
    <xf numFmtId="165" fontId="4" fillId="0" borderId="8" pivotButton="0" quotePrefix="0" xfId="0"/>
    <xf numFmtId="165" fontId="4" fillId="0" borderId="4" pivotButton="0" quotePrefix="0" xfId="0"/>
    <xf numFmtId="165" fontId="4" fillId="0" borderId="9" pivotButton="0" quotePrefix="0" xfId="0"/>
    <xf numFmtId="165" fontId="4" fillId="0" borderId="6" pivotButton="0" quotePrefix="0" xfId="0"/>
    <xf numFmtId="166" fontId="4" fillId="0" borderId="6" pivotButton="0" quotePrefix="0" xfId="0"/>
    <xf numFmtId="164" fontId="5" fillId="0" borderId="4" pivotButton="0" quotePrefix="0" xfId="0"/>
    <xf numFmtId="165" fontId="5" fillId="0" borderId="4" pivotButton="0" quotePrefix="0" xfId="0"/>
    <xf numFmtId="166" fontId="7" fillId="0" borderId="9" pivotButton="0" quotePrefix="0" xfId="0"/>
    <xf numFmtId="167" fontId="4" fillId="0" borderId="8" pivotButton="0" quotePrefix="0" xfId="0"/>
    <xf numFmtId="167" fontId="4" fillId="0" borderId="4" pivotButton="0" quotePrefix="0" xfId="0"/>
    <xf numFmtId="168" fontId="4" fillId="0" borderId="8" pivotButton="0" quotePrefix="0" xfId="0"/>
    <xf numFmtId="168" fontId="4" fillId="0" borderId="4" pivotButton="0" quotePrefix="0" xfId="0"/>
    <xf numFmtId="0" fontId="6" fillId="4" borderId="3" pivotButton="0" quotePrefix="0" xfId="0"/>
    <xf numFmtId="0" fontId="9" fillId="0" borderId="3" pivotButton="0" quotePrefix="0" xfId="0"/>
    <xf numFmtId="164" fontId="7" fillId="0" borderId="8" pivotButton="0" quotePrefix="0" xfId="0"/>
    <xf numFmtId="166" fontId="6" fillId="4" borderId="8" applyAlignment="1" pivotButton="0" quotePrefix="0" xfId="0">
      <alignment horizontal="center"/>
    </xf>
    <xf numFmtId="166" fontId="6" fillId="4" borderId="4" applyAlignment="1" pivotButton="0" quotePrefix="0" xfId="0">
      <alignment horizontal="center"/>
    </xf>
    <xf numFmtId="166" fontId="6" fillId="4" borderId="3" pivotButton="0" quotePrefix="0" xfId="0"/>
    <xf numFmtId="164" fontId="4" fillId="0" borderId="8" applyAlignment="1" pivotButton="0" quotePrefix="0" xfId="0">
      <alignment horizontal="center"/>
    </xf>
    <xf numFmtId="164" fontId="4" fillId="0" borderId="4" applyAlignment="1" pivotButton="0" quotePrefix="0" xfId="0">
      <alignment horizontal="center"/>
    </xf>
    <xf numFmtId="166" fontId="6" fillId="4" borderId="5" pivotButton="0" quotePrefix="0" xfId="0"/>
    <xf numFmtId="164" fontId="4" fillId="0" borderId="9" applyAlignment="1" pivotButton="0" quotePrefix="0" xfId="0">
      <alignment horizontal="center"/>
    </xf>
    <xf numFmtId="164" fontId="4" fillId="0" borderId="6" applyAlignment="1" pivotButton="0" quotePrefix="0" xfId="0">
      <alignment horizontal="center"/>
    </xf>
    <xf numFmtId="167" fontId="6" fillId="4" borderId="3" pivotButton="0" quotePrefix="0" xfId="0"/>
    <xf numFmtId="167" fontId="6" fillId="4" borderId="5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comments/comment1.xml><?xml version="1.0" encoding="utf-8"?>
<comments xmlns="http://schemas.openxmlformats.org/spreadsheetml/2006/main">
  <authors>
    <author>DCF Model</author>
  </authors>
  <commentList>
    <comment ref="B4" authorId="0" shapeId="0">
      <text>
        <t>1=Bear, 2=Base, 3=Bull</t>
      </text>
    </comment>
    <comment ref="B23" authorId="0" shapeId="0">
      <text>
        <t>Source: Conservative, ~GDP growth</t>
      </text>
    </comment>
    <comment ref="B24" authorId="0" shapeId="0">
      <text>
        <t>Source: Bear case risk premium</t>
      </text>
    </comment>
    <comment ref="B34" authorId="0" shapeId="0">
      <text>
        <t>Source: Moderate, slightly above GDP</t>
      </text>
    </comment>
    <comment ref="B35" authorId="0" shapeId="0">
      <text>
        <t>Leave as text to use WACC sheet value</t>
      </text>
    </comment>
    <comment ref="B45" authorId="0" shapeId="0">
      <text>
        <t>Source: Bull case, market leader premium</t>
      </text>
    </comment>
    <comment ref="B46" authorId="0" shapeId="0">
      <text>
        <t>Source: Bull case reduced risk premium</t>
      </text>
    </comment>
    <comment ref="B61" authorId="0" shapeId="0">
      <text>
        <t>Source: AMZN 10-K FY2020, Consolidated Statements of Operations</t>
      </text>
    </comment>
    <comment ref="C61" authorId="0" shapeId="0">
      <text>
        <t>Source: AMZN 10-K FY2021, Consolidated Statements of Operations</t>
      </text>
    </comment>
    <comment ref="D61" authorId="0" shapeId="0">
      <text>
        <t>Source: AMZN 10-K FY2022, Consolidated Statements of Operations</t>
      </text>
    </comment>
    <comment ref="E61" authorId="0" shapeId="0">
      <text>
        <t>Source: AMZN 10-K FY2023, Consolidated Statements of Operations</t>
      </text>
    </comment>
    <comment ref="F61" authorId="0" shapeId="0">
      <text>
        <t>Source: AMZN 10-K FY2024, Consolidated Statements of Operations</t>
      </text>
    </comment>
    <comment ref="G61" authorId="0" shapeId="0">
      <text>
        <t>Source: AMZN 10-K FY2025, Consolidated Statements of Operations</t>
      </text>
    </comment>
    <comment ref="B64" authorId="0" shapeId="0">
      <text>
        <t>Source: AMZN 10-K FY2020, Cost of Sales</t>
      </text>
    </comment>
    <comment ref="C64" authorId="0" shapeId="0">
      <text>
        <t>Source: AMZN 10-K FY2021, Cost of Sales</t>
      </text>
    </comment>
    <comment ref="D64" authorId="0" shapeId="0">
      <text>
        <t>Source: AMZN 10-K FY2022, Cost of Sales</t>
      </text>
    </comment>
    <comment ref="E64" authorId="0" shapeId="0">
      <text>
        <t>Source: AMZN 10-K FY2023, Cost of Sales</t>
      </text>
    </comment>
    <comment ref="F64" authorId="0" shapeId="0">
      <text>
        <t>Source: AMZN 10-K FY2024, Cost of Sales</t>
      </text>
    </comment>
    <comment ref="G64" authorId="0" shapeId="0">
      <text>
        <t>Source: AMZN 10-K FY2025, Cost of Sales</t>
      </text>
    </comment>
    <comment ref="B65" authorId="0" shapeId="0">
      <text>
        <t>Source: AMZN 10-K FY2020, Revenue - COGS</t>
      </text>
    </comment>
    <comment ref="C65" authorId="0" shapeId="0">
      <text>
        <t>Source: AMZN 10-K FY2021, Revenue - COGS</t>
      </text>
    </comment>
    <comment ref="D65" authorId="0" shapeId="0">
      <text>
        <t>Source: AMZN 10-K FY2022, Revenue - COGS</t>
      </text>
    </comment>
    <comment ref="E65" authorId="0" shapeId="0">
      <text>
        <t>Source: AMZN 10-K FY2023, Revenue - COGS</t>
      </text>
    </comment>
    <comment ref="F65" authorId="0" shapeId="0">
      <text>
        <t>Source: AMZN 10-K FY2024, Revenue - COGS</t>
      </text>
    </comment>
    <comment ref="G65" authorId="0" shapeId="0">
      <text>
        <t>Source: AMZN 10-K FY2025, Revenue - COGS</t>
      </text>
    </comment>
    <comment ref="B69" authorId="0" shapeId="0">
      <text>
        <t>Source: AMZN 10-K FY2020, Fulfillment + S&amp;M</t>
      </text>
    </comment>
    <comment ref="C69" authorId="0" shapeId="0">
      <text>
        <t>Source: AMZN 10-K FY2021, Fulfillment + S&amp;M</t>
      </text>
    </comment>
    <comment ref="D69" authorId="0" shapeId="0">
      <text>
        <t>Source: AMZN 10-K FY2022, Fulfillment + S&amp;M</t>
      </text>
    </comment>
    <comment ref="E69" authorId="0" shapeId="0">
      <text>
        <t>Source: AMZN 10-K FY2023, Fulfillment + S&amp;M</t>
      </text>
    </comment>
    <comment ref="F69" authorId="0" shapeId="0">
      <text>
        <t>Source: AMZN 10-K FY2024, Fulfillment + S&amp;M</t>
      </text>
    </comment>
    <comment ref="G69" authorId="0" shapeId="0">
      <text>
        <t>Source: AMZN 10-K FY2025, Fulfillment + S&amp;M</t>
      </text>
    </comment>
    <comment ref="B70" authorId="0" shapeId="0">
      <text>
        <t>Source: AMZN 10-K FY2020, Technology &amp; Content</t>
      </text>
    </comment>
    <comment ref="C70" authorId="0" shapeId="0">
      <text>
        <t>Source: AMZN 10-K FY2021, Technology &amp; Content</t>
      </text>
    </comment>
    <comment ref="D70" authorId="0" shapeId="0">
      <text>
        <t>Source: AMZN 10-K FY2022, Technology &amp; Content</t>
      </text>
    </comment>
    <comment ref="E70" authorId="0" shapeId="0">
      <text>
        <t>Source: AMZN 10-K FY2023, Technology &amp; Content</t>
      </text>
    </comment>
    <comment ref="F70" authorId="0" shapeId="0">
      <text>
        <t>Source: AMZN 10-K FY2024, Technology &amp; Content</t>
      </text>
    </comment>
    <comment ref="G70" authorId="0" shapeId="0">
      <text>
        <t>Source: AMZN 10-K FY2025, Technology &amp; Content</t>
      </text>
    </comment>
    <comment ref="B71" authorId="0" shapeId="0">
      <text>
        <t>Source: AMZN 10-K FY2020, G&amp;A</t>
      </text>
    </comment>
    <comment ref="C71" authorId="0" shapeId="0">
      <text>
        <t>Source: AMZN 10-K FY2021, G&amp;A</t>
      </text>
    </comment>
    <comment ref="D71" authorId="0" shapeId="0">
      <text>
        <t>Source: AMZN 10-K FY2022, G&amp;A</t>
      </text>
    </comment>
    <comment ref="E71" authorId="0" shapeId="0">
      <text>
        <t>Source: AMZN 10-K FY2023, G&amp;A</t>
      </text>
    </comment>
    <comment ref="F71" authorId="0" shapeId="0">
      <text>
        <t>Source: AMZN 10-K FY2024, G&amp;A</t>
      </text>
    </comment>
    <comment ref="G71" authorId="0" shapeId="0">
      <text>
        <t>Source: AMZN 10-K FY2025, G&amp;A</t>
      </text>
    </comment>
    <comment ref="B74" authorId="0" shapeId="0">
      <text>
        <t>Source: AMZN 10-K FY2020, Operating Income</t>
      </text>
    </comment>
    <comment ref="C74" authorId="0" shapeId="0">
      <text>
        <t>Source: AMZN 10-K FY2021, Operating Income</t>
      </text>
    </comment>
    <comment ref="D74" authorId="0" shapeId="0">
      <text>
        <t>Source: AMZN 10-K FY2022, Operating Income</t>
      </text>
    </comment>
    <comment ref="E74" authorId="0" shapeId="0">
      <text>
        <t>Source: AMZN 10-K FY2023, Operating Income</t>
      </text>
    </comment>
    <comment ref="F74" authorId="0" shapeId="0">
      <text>
        <t>Source: AMZN 10-K FY2024, Operating Income</t>
      </text>
    </comment>
    <comment ref="G74" authorId="0" shapeId="0">
      <text>
        <t>Source: AMZN 10-K FY2025, Operating Income</t>
      </text>
    </comment>
    <comment ref="B77" authorId="0" shapeId="0">
      <text>
        <t>Source: Estimated taxes on EBIT</t>
      </text>
    </comment>
    <comment ref="C77" authorId="0" shapeId="0">
      <text>
        <t>Source: Estimated taxes on EBIT</t>
      </text>
    </comment>
    <comment ref="D77" authorId="0" shapeId="0">
      <text>
        <t>Source: Estimated taxes on EBIT</t>
      </text>
    </comment>
    <comment ref="E77" authorId="0" shapeId="0">
      <text>
        <t>Source: Estimated taxes on EBIT</t>
      </text>
    </comment>
    <comment ref="F77" authorId="0" shapeId="0">
      <text>
        <t>Source: Estimated taxes on EBIT</t>
      </text>
    </comment>
    <comment ref="G77" authorId="0" shapeId="0">
      <text>
        <t>Source: Estimated taxes on EBIT</t>
      </text>
    </comment>
    <comment ref="B83" authorId="0" shapeId="0">
      <text>
        <t>Source: AMZN 10-K FY2020, Cash Flow Statement D&amp;A</t>
      </text>
    </comment>
    <comment ref="C83" authorId="0" shapeId="0">
      <text>
        <t>Source: AMZN 10-K FY2021, Cash Flow Statement D&amp;A</t>
      </text>
    </comment>
    <comment ref="D83" authorId="0" shapeId="0">
      <text>
        <t>Source: AMZN 10-K FY2022, Cash Flow Statement D&amp;A</t>
      </text>
    </comment>
    <comment ref="E83" authorId="0" shapeId="0">
      <text>
        <t>Source: AMZN 10-K FY2023, Cash Flow Statement D&amp;A</t>
      </text>
    </comment>
    <comment ref="F83" authorId="0" shapeId="0">
      <text>
        <t>Source: AMZN 10-K FY2024, Cash Flow Statement D&amp;A</t>
      </text>
    </comment>
    <comment ref="G83" authorId="0" shapeId="0">
      <text>
        <t>Source: AMZN 10-K FY2025, Cash Flow Statement D&amp;A</t>
      </text>
    </comment>
    <comment ref="B86" authorId="0" shapeId="0">
      <text>
        <t>Source: AMZN 10-K FY2020, Purchases of PPE</t>
      </text>
    </comment>
    <comment ref="C86" authorId="0" shapeId="0">
      <text>
        <t>Source: AMZN 10-K FY2021, Purchases of PPE</t>
      </text>
    </comment>
    <comment ref="D86" authorId="0" shapeId="0">
      <text>
        <t>Source: AMZN 10-K FY2022, Purchases of PPE</t>
      </text>
    </comment>
    <comment ref="E86" authorId="0" shapeId="0">
      <text>
        <t>Source: AMZN 10-K FY2023, Purchases of PPE</t>
      </text>
    </comment>
    <comment ref="F86" authorId="0" shapeId="0">
      <text>
        <t>Source: AMZN 10-K FY2024, Purchases of PPE</t>
      </text>
    </comment>
    <comment ref="G86" authorId="0" shapeId="0">
      <text>
        <t>Source: AMZN 10-K FY2025, Purchases of PPE</t>
      </text>
    </comment>
    <comment ref="B89" authorId="0" shapeId="0">
      <text>
        <t>Source: AMZN 10-K FY2020, Working Capital Changes</t>
      </text>
    </comment>
    <comment ref="C89" authorId="0" shapeId="0">
      <text>
        <t>Source: AMZN 10-K FY2021, Working Capital Changes</t>
      </text>
    </comment>
    <comment ref="D89" authorId="0" shapeId="0">
      <text>
        <t>Source: AMZN 10-K FY2022, Working Capital Changes</t>
      </text>
    </comment>
    <comment ref="E89" authorId="0" shapeId="0">
      <text>
        <t>Source: AMZN 10-K FY2023, Working Capital Changes</t>
      </text>
    </comment>
    <comment ref="F89" authorId="0" shapeId="0">
      <text>
        <t>Source: AMZN 10-K FY2024, Working Capital Changes</t>
      </text>
    </comment>
    <comment ref="G89" authorId="0" shapeId="0">
      <text>
        <t>Source: AMZN 10-K FY2025, Working Capital Changes</t>
      </text>
    </comment>
  </commentList>
</comments>
</file>

<file path=xl/comments/comment2.xml><?xml version="1.0" encoding="utf-8"?>
<comments xmlns="http://schemas.openxmlformats.org/spreadsheetml/2006/main">
  <authors>
    <author>DCF Model</author>
  </authors>
  <commentList>
    <comment ref="B5" authorId="0" shapeId="0">
      <text>
        <t>Source: US Treasury, Feb 28 2025, 10-Year Yield</t>
      </text>
    </comment>
    <comment ref="B6" authorId="0" shapeId="0">
      <text>
        <t>Source: Damodaran ERP, Jan 2025, US Market</t>
      </text>
    </comment>
    <comment ref="B7" authorId="0" shapeId="0">
      <text>
        <t>Source: Zacks/YCharts, Feb 2025, 60-month beta vs S&amp;P 500</t>
      </text>
    </comment>
    <comment ref="B12" authorId="0" shapeId="0">
      <text>
        <t>Source: Amazon Nov 2025 bond offering, blended yield ~4.5%</t>
      </text>
    </comment>
    <comment ref="B13" authorId="0" shapeId="0">
      <text>
        <t>Source: US statutory corporate tax rate 21%</t>
      </text>
    </comment>
    <comment ref="B17" authorId="0" shapeId="0">
      <text>
        <t>Source: Market close, Feb 28 2025</t>
      </text>
    </comment>
    <comment ref="B18" authorId="0" shapeId="0">
      <text>
        <t>Source: AMZN 10-K FY2024, weighted avg diluted shares</t>
      </text>
    </comment>
    <comment ref="B21" authorId="0" shapeId="0">
      <text>
        <t>Source: AMZN 10-K FY2024, LT debt + current portion</t>
      </text>
    </comment>
    <comment ref="B22" authorId="0" shapeId="0">
      <text>
        <t>Source: AMZN 10-K FY2024, cash + marketable securities</t>
      </text>
    </comment>
  </commentList>
</comment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comments" Target="/xl/comments/comment1.xml" Id="comments"/><Relationship Type="http://schemas.openxmlformats.org/officeDocument/2006/relationships/vmlDrawing" Target="/xl/drawings/commentsDrawing1.vml" Id="anysvml"/></Relationships>
</file>

<file path=xl/worksheets/_rels/sheet2.xml.rels><Relationships xmlns="http://schemas.openxmlformats.org/package/2006/relationships"><Relationship Type="http://schemas.openxmlformats.org/officeDocument/2006/relationships/comments" Target="/xl/comments/comment2.xml" Id="comments"/><Relationship Type="http://schemas.openxmlformats.org/officeDocument/2006/relationships/vmlDrawing" Target="/xl/drawings/commentsDrawing2.vml" Id="anysvml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47"/>
  <sheetViews>
    <sheetView workbookViewId="0">
      <selection activeCell="A1" sqref="A1"/>
    </sheetView>
  </sheetViews>
  <sheetFormatPr baseColWidth="8" defaultRowHeight="15"/>
  <cols>
    <col width="32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  <col width="16" customWidth="1" min="7" max="7"/>
    <col width="16" customWidth="1" min="8" max="8"/>
    <col width="16" customWidth="1" min="9" max="9"/>
    <col width="16" customWidth="1" min="10" max="10"/>
    <col width="16" customWidth="1" min="11" max="11"/>
    <col width="16" customWidth="1" min="12" max="12"/>
  </cols>
  <sheetData>
    <row r="1">
      <c r="A1" s="1" t="inlineStr">
        <is>
          <t>Amazon.com, Inc. (AMZN) - DCF Valuation Model</t>
        </is>
      </c>
    </row>
    <row r="2">
      <c r="A2" s="2" t="inlineStr">
        <is>
          <t>Ticker: AMZN | Date: Feb 25, 2026 | FYE: December 31</t>
        </is>
      </c>
    </row>
    <row r="4">
      <c r="A4" s="3" t="inlineStr">
        <is>
          <t>Scenario Selection</t>
        </is>
      </c>
      <c r="B4" s="4" t="n">
        <v>2</v>
      </c>
    </row>
    <row r="5">
      <c r="A5" s="3" t="inlineStr">
        <is>
          <t>Active Scenario</t>
        </is>
      </c>
      <c r="B5" s="5">
        <f>IF(B4=1,"Bear",IF(B4=2,"Base","Bull"))</f>
        <v/>
      </c>
    </row>
    <row r="7">
      <c r="A7" s="6" t="inlineStr">
        <is>
          <t>KEY MARKET DATA</t>
        </is>
      </c>
      <c r="B7" s="7" t="n"/>
      <c r="C7" s="7" t="n"/>
      <c r="D7" s="8" t="n"/>
    </row>
    <row r="8">
      <c r="A8" s="9" t="inlineStr">
        <is>
          <t>Current Stock Price</t>
        </is>
      </c>
      <c r="B8" s="42">
        <f>WACC!B17</f>
        <v/>
      </c>
      <c r="C8" s="11" t="n"/>
      <c r="D8" s="12" t="n"/>
    </row>
    <row r="9">
      <c r="A9" s="9" t="inlineStr">
        <is>
          <t>Diluted Shares Outstanding (M)</t>
        </is>
      </c>
      <c r="B9" s="13">
        <f>WACC!B18</f>
        <v/>
      </c>
      <c r="C9" s="11" t="n"/>
      <c r="D9" s="12" t="n"/>
    </row>
    <row r="10">
      <c r="A10" s="9" t="inlineStr">
        <is>
          <t>Market Capitalization ($M)</t>
        </is>
      </c>
      <c r="B10" s="43">
        <f>WACC!B19</f>
        <v/>
      </c>
      <c r="C10" s="11" t="n"/>
      <c r="D10" s="12" t="n"/>
    </row>
    <row r="11">
      <c r="A11" s="9" t="inlineStr">
        <is>
          <t>Net Debt ($M)</t>
        </is>
      </c>
      <c r="B11" s="43">
        <f>WACC!B23</f>
        <v/>
      </c>
      <c r="C11" s="11" t="n"/>
      <c r="D11" s="12" t="n"/>
    </row>
    <row r="12">
      <c r="A12" s="15" t="inlineStr">
        <is>
          <t>WACC</t>
        </is>
      </c>
      <c r="B12" s="44">
        <f>WACC!B31</f>
        <v/>
      </c>
      <c r="C12" s="17" t="n"/>
      <c r="D12" s="18" t="n"/>
    </row>
    <row r="14">
      <c r="A14" s="19" t="inlineStr">
        <is>
          <t>DCF SCENARIO ASSUMPTIONS</t>
        </is>
      </c>
      <c r="B14" s="19" t="n"/>
      <c r="C14" s="19" t="n"/>
      <c r="D14" s="19" t="n"/>
      <c r="E14" s="19" t="n"/>
      <c r="F14" s="19" t="n"/>
      <c r="G14" s="19" t="n"/>
    </row>
    <row r="15">
      <c r="A15" s="6" t="inlineStr">
        <is>
          <t>BEAR CASE ASSUMPTIONS</t>
        </is>
      </c>
      <c r="B15" s="7" t="n"/>
      <c r="C15" s="7" t="n"/>
      <c r="D15" s="7" t="n"/>
      <c r="E15" s="7" t="n"/>
      <c r="F15" s="8" t="n"/>
      <c r="G15" s="19" t="n"/>
    </row>
    <row r="16">
      <c r="A16" s="20" t="inlineStr">
        <is>
          <t>Assumption</t>
        </is>
      </c>
      <c r="B16" s="21" t="inlineStr">
        <is>
          <t>FY2026E</t>
        </is>
      </c>
      <c r="C16" s="21" t="inlineStr">
        <is>
          <t>FY2027E</t>
        </is>
      </c>
      <c r="D16" s="21" t="inlineStr">
        <is>
          <t>FY2028E</t>
        </is>
      </c>
      <c r="E16" s="21" t="inlineStr">
        <is>
          <t>FY2029E</t>
        </is>
      </c>
      <c r="F16" s="22" t="inlineStr">
        <is>
          <t>FY2030E</t>
        </is>
      </c>
    </row>
    <row r="17">
      <c r="A17" s="9" t="inlineStr">
        <is>
          <t>Revenue Growth (%)</t>
        </is>
      </c>
      <c r="B17" s="45" t="n">
        <v>0.1</v>
      </c>
      <c r="C17" s="45" t="n">
        <v>0.09</v>
      </c>
      <c r="D17" s="45" t="n">
        <v>0.08</v>
      </c>
      <c r="E17" s="45" t="n">
        <v>0.07000000000000001</v>
      </c>
      <c r="F17" s="46" t="n">
        <v>0.06</v>
      </c>
    </row>
    <row r="18">
      <c r="A18" s="9" t="inlineStr">
        <is>
          <t>EBIT Margin (%)</t>
        </is>
      </c>
      <c r="B18" s="45" t="n">
        <v>0.1</v>
      </c>
      <c r="C18" s="45" t="n">
        <v>0.1</v>
      </c>
      <c r="D18" s="45" t="n">
        <v>0.1</v>
      </c>
      <c r="E18" s="45" t="n">
        <v>0.1</v>
      </c>
      <c r="F18" s="46" t="n">
        <v>0.1</v>
      </c>
    </row>
    <row r="19">
      <c r="A19" s="9" t="inlineStr">
        <is>
          <t>Tax Rate (%)</t>
        </is>
      </c>
      <c r="B19" s="45" t="n">
        <v>0.21</v>
      </c>
      <c r="C19" s="45" t="n">
        <v>0.21</v>
      </c>
      <c r="D19" s="45" t="n">
        <v>0.21</v>
      </c>
      <c r="E19" s="45" t="n">
        <v>0.21</v>
      </c>
      <c r="F19" s="46" t="n">
        <v>0.21</v>
      </c>
    </row>
    <row r="20">
      <c r="A20" s="9" t="inlineStr">
        <is>
          <t>D&amp;A (% of Revenue)</t>
        </is>
      </c>
      <c r="B20" s="45" t="n">
        <v>0.08</v>
      </c>
      <c r="C20" s="45" t="n">
        <v>0.08</v>
      </c>
      <c r="D20" s="45" t="n">
        <v>0.08</v>
      </c>
      <c r="E20" s="45" t="n">
        <v>0.08</v>
      </c>
      <c r="F20" s="46" t="n">
        <v>0.08</v>
      </c>
    </row>
    <row r="21">
      <c r="A21" s="9" t="inlineStr">
        <is>
          <t>CapEx (% of Revenue)</t>
        </is>
      </c>
      <c r="B21" s="45" t="n">
        <v>0.14</v>
      </c>
      <c r="C21" s="45" t="n">
        <v>0.13</v>
      </c>
      <c r="D21" s="45" t="n">
        <v>0.12</v>
      </c>
      <c r="E21" s="45" t="n">
        <v>0.11</v>
      </c>
      <c r="F21" s="46" t="n">
        <v>0.1</v>
      </c>
    </row>
    <row r="22">
      <c r="A22" s="9" t="inlineStr">
        <is>
          <t>NWC Change (% of ΔRev)</t>
        </is>
      </c>
      <c r="B22" s="45" t="n">
        <v>0.02</v>
      </c>
      <c r="C22" s="45" t="n">
        <v>0.02</v>
      </c>
      <c r="D22" s="45" t="n">
        <v>0.02</v>
      </c>
      <c r="E22" s="45" t="n">
        <v>0.02</v>
      </c>
      <c r="F22" s="46" t="n">
        <v>0.02</v>
      </c>
    </row>
    <row r="23">
      <c r="A23" s="9" t="inlineStr">
        <is>
          <t>Terminal Growth Rate</t>
        </is>
      </c>
      <c r="B23" s="45" t="n">
        <v>0.025</v>
      </c>
      <c r="C23" s="11" t="n"/>
      <c r="D23" s="11" t="n"/>
      <c r="E23" s="11" t="n"/>
      <c r="F23" s="12" t="n"/>
    </row>
    <row r="24">
      <c r="A24" s="15" t="inlineStr">
        <is>
          <t>WACC Override</t>
        </is>
      </c>
      <c r="B24" s="47" t="n">
        <v>0.105</v>
      </c>
      <c r="C24" s="17" t="n"/>
      <c r="D24" s="17" t="n"/>
      <c r="E24" s="17" t="n"/>
      <c r="F24" s="18" t="n"/>
    </row>
    <row r="26">
      <c r="A26" s="6" t="inlineStr">
        <is>
          <t>BASE CASE ASSUMPTIONS</t>
        </is>
      </c>
      <c r="B26" s="7" t="n"/>
      <c r="C26" s="7" t="n"/>
      <c r="D26" s="7" t="n"/>
      <c r="E26" s="7" t="n"/>
      <c r="F26" s="8" t="n"/>
      <c r="G26" s="19" t="n"/>
    </row>
    <row r="27">
      <c r="A27" s="20" t="inlineStr">
        <is>
          <t>Assumption</t>
        </is>
      </c>
      <c r="B27" s="21" t="inlineStr">
        <is>
          <t>FY2026E</t>
        </is>
      </c>
      <c r="C27" s="21" t="inlineStr">
        <is>
          <t>FY2027E</t>
        </is>
      </c>
      <c r="D27" s="21" t="inlineStr">
        <is>
          <t>FY2028E</t>
        </is>
      </c>
      <c r="E27" s="21" t="inlineStr">
        <is>
          <t>FY2029E</t>
        </is>
      </c>
      <c r="F27" s="22" t="inlineStr">
        <is>
          <t>FY2030E</t>
        </is>
      </c>
    </row>
    <row r="28">
      <c r="A28" s="9" t="inlineStr">
        <is>
          <t>Revenue Growth (%)</t>
        </is>
      </c>
      <c r="B28" s="45" t="n">
        <v>0.14</v>
      </c>
      <c r="C28" s="45" t="n">
        <v>0.12</v>
      </c>
      <c r="D28" s="45" t="n">
        <v>0.11</v>
      </c>
      <c r="E28" s="45" t="n">
        <v>0.1</v>
      </c>
      <c r="F28" s="46" t="n">
        <v>0.09</v>
      </c>
    </row>
    <row r="29">
      <c r="A29" s="9" t="inlineStr">
        <is>
          <t>EBIT Margin (%)</t>
        </is>
      </c>
      <c r="B29" s="45" t="n">
        <v>0.12</v>
      </c>
      <c r="C29" s="45" t="n">
        <v>0.13</v>
      </c>
      <c r="D29" s="45" t="n">
        <v>0.14</v>
      </c>
      <c r="E29" s="45" t="n">
        <v>0.145</v>
      </c>
      <c r="F29" s="46" t="n">
        <v>0.15</v>
      </c>
    </row>
    <row r="30">
      <c r="A30" s="9" t="inlineStr">
        <is>
          <t>Tax Rate (%)</t>
        </is>
      </c>
      <c r="B30" s="45" t="n">
        <v>0.21</v>
      </c>
      <c r="C30" s="45" t="n">
        <v>0.21</v>
      </c>
      <c r="D30" s="45" t="n">
        <v>0.21</v>
      </c>
      <c r="E30" s="45" t="n">
        <v>0.21</v>
      </c>
      <c r="F30" s="46" t="n">
        <v>0.21</v>
      </c>
    </row>
    <row r="31">
      <c r="A31" s="9" t="inlineStr">
        <is>
          <t>D&amp;A (% of Revenue)</t>
        </is>
      </c>
      <c r="B31" s="45" t="n">
        <v>0.08</v>
      </c>
      <c r="C31" s="45" t="n">
        <v>0.08</v>
      </c>
      <c r="D31" s="45" t="n">
        <v>0.08</v>
      </c>
      <c r="E31" s="45" t="n">
        <v>0.08</v>
      </c>
      <c r="F31" s="46" t="n">
        <v>0.08</v>
      </c>
    </row>
    <row r="32">
      <c r="A32" s="9" t="inlineStr">
        <is>
          <t>CapEx (% of Revenue)</t>
        </is>
      </c>
      <c r="B32" s="45" t="n">
        <v>0.13</v>
      </c>
      <c r="C32" s="45" t="n">
        <v>0.12</v>
      </c>
      <c r="D32" s="45" t="n">
        <v>0.11</v>
      </c>
      <c r="E32" s="45" t="n">
        <v>0.1</v>
      </c>
      <c r="F32" s="46" t="n">
        <v>0.09</v>
      </c>
    </row>
    <row r="33">
      <c r="A33" s="9" t="inlineStr">
        <is>
          <t>NWC Change (% of ΔRev)</t>
        </is>
      </c>
      <c r="B33" s="45" t="n">
        <v>0.015</v>
      </c>
      <c r="C33" s="45" t="n">
        <v>0.015</v>
      </c>
      <c r="D33" s="45" t="n">
        <v>0.015</v>
      </c>
      <c r="E33" s="45" t="n">
        <v>0.015</v>
      </c>
      <c r="F33" s="46" t="n">
        <v>0.015</v>
      </c>
    </row>
    <row r="34">
      <c r="A34" s="9" t="inlineStr">
        <is>
          <t>Terminal Growth Rate</t>
        </is>
      </c>
      <c r="B34" s="45" t="n">
        <v>0.03</v>
      </c>
      <c r="C34" s="11" t="n"/>
      <c r="D34" s="11" t="n"/>
      <c r="E34" s="11" t="n"/>
      <c r="F34" s="12" t="n"/>
    </row>
    <row r="35">
      <c r="A35" s="15" t="inlineStr">
        <is>
          <t>WACC Override</t>
        </is>
      </c>
      <c r="B35" s="26" t="inlineStr">
        <is>
          <t>Use Calculated</t>
        </is>
      </c>
      <c r="C35" s="17" t="n"/>
      <c r="D35" s="17" t="n"/>
      <c r="E35" s="17" t="n"/>
      <c r="F35" s="18" t="n"/>
    </row>
    <row r="37">
      <c r="A37" s="6" t="inlineStr">
        <is>
          <t>BULL CASE ASSUMPTIONS</t>
        </is>
      </c>
      <c r="B37" s="7" t="n"/>
      <c r="C37" s="7" t="n"/>
      <c r="D37" s="7" t="n"/>
      <c r="E37" s="7" t="n"/>
      <c r="F37" s="8" t="n"/>
      <c r="G37" s="19" t="n"/>
    </row>
    <row r="38">
      <c r="A38" s="20" t="inlineStr">
        <is>
          <t>Assumption</t>
        </is>
      </c>
      <c r="B38" s="21" t="inlineStr">
        <is>
          <t>FY2026E</t>
        </is>
      </c>
      <c r="C38" s="21" t="inlineStr">
        <is>
          <t>FY2027E</t>
        </is>
      </c>
      <c r="D38" s="21" t="inlineStr">
        <is>
          <t>FY2028E</t>
        </is>
      </c>
      <c r="E38" s="21" t="inlineStr">
        <is>
          <t>FY2029E</t>
        </is>
      </c>
      <c r="F38" s="22" t="inlineStr">
        <is>
          <t>FY2030E</t>
        </is>
      </c>
    </row>
    <row r="39">
      <c r="A39" s="9" t="inlineStr">
        <is>
          <t>Revenue Growth (%)</t>
        </is>
      </c>
      <c r="B39" s="45" t="n">
        <v>0.16</v>
      </c>
      <c r="C39" s="45" t="n">
        <v>0.15</v>
      </c>
      <c r="D39" s="45" t="n">
        <v>0.14</v>
      </c>
      <c r="E39" s="45" t="n">
        <v>0.13</v>
      </c>
      <c r="F39" s="46" t="n">
        <v>0.12</v>
      </c>
    </row>
    <row r="40">
      <c r="A40" s="9" t="inlineStr">
        <is>
          <t>EBIT Margin (%)</t>
        </is>
      </c>
      <c r="B40" s="45" t="n">
        <v>0.13</v>
      </c>
      <c r="C40" s="45" t="n">
        <v>0.14</v>
      </c>
      <c r="D40" s="45" t="n">
        <v>0.15</v>
      </c>
      <c r="E40" s="45" t="n">
        <v>0.16</v>
      </c>
      <c r="F40" s="46" t="n">
        <v>0.17</v>
      </c>
    </row>
    <row r="41">
      <c r="A41" s="9" t="inlineStr">
        <is>
          <t>Tax Rate (%)</t>
        </is>
      </c>
      <c r="B41" s="45" t="n">
        <v>0.21</v>
      </c>
      <c r="C41" s="45" t="n">
        <v>0.21</v>
      </c>
      <c r="D41" s="45" t="n">
        <v>0.21</v>
      </c>
      <c r="E41" s="45" t="n">
        <v>0.21</v>
      </c>
      <c r="F41" s="46" t="n">
        <v>0.21</v>
      </c>
    </row>
    <row r="42">
      <c r="A42" s="9" t="inlineStr">
        <is>
          <t>D&amp;A (% of Revenue)</t>
        </is>
      </c>
      <c r="B42" s="45" t="n">
        <v>0.08</v>
      </c>
      <c r="C42" s="45" t="n">
        <v>0.08</v>
      </c>
      <c r="D42" s="45" t="n">
        <v>0.08</v>
      </c>
      <c r="E42" s="45" t="n">
        <v>0.08</v>
      </c>
      <c r="F42" s="46" t="n">
        <v>0.08</v>
      </c>
    </row>
    <row r="43">
      <c r="A43" s="9" t="inlineStr">
        <is>
          <t>CapEx (% of Revenue)</t>
        </is>
      </c>
      <c r="B43" s="45" t="n">
        <v>0.12</v>
      </c>
      <c r="C43" s="45" t="n">
        <v>0.11</v>
      </c>
      <c r="D43" s="45" t="n">
        <v>0.1</v>
      </c>
      <c r="E43" s="45" t="n">
        <v>0.09</v>
      </c>
      <c r="F43" s="46" t="n">
        <v>0.08</v>
      </c>
    </row>
    <row r="44">
      <c r="A44" s="9" t="inlineStr">
        <is>
          <t>NWC Change (% of ΔRev)</t>
        </is>
      </c>
      <c r="B44" s="45" t="n">
        <v>0.01</v>
      </c>
      <c r="C44" s="45" t="n">
        <v>0.01</v>
      </c>
      <c r="D44" s="45" t="n">
        <v>0.01</v>
      </c>
      <c r="E44" s="45" t="n">
        <v>0.01</v>
      </c>
      <c r="F44" s="46" t="n">
        <v>0.01</v>
      </c>
    </row>
    <row r="45">
      <c r="A45" s="9" t="inlineStr">
        <is>
          <t>Terminal Growth Rate</t>
        </is>
      </c>
      <c r="B45" s="45" t="n">
        <v>0.035</v>
      </c>
      <c r="C45" s="11" t="n"/>
      <c r="D45" s="11" t="n"/>
      <c r="E45" s="11" t="n"/>
      <c r="F45" s="12" t="n"/>
    </row>
    <row r="46">
      <c r="A46" s="15" t="inlineStr">
        <is>
          <t>WACC Override</t>
        </is>
      </c>
      <c r="B46" s="47" t="n">
        <v>0.08500000000000001</v>
      </c>
      <c r="C46" s="17" t="n"/>
      <c r="D46" s="17" t="n"/>
      <c r="E46" s="17" t="n"/>
      <c r="F46" s="18" t="n"/>
    </row>
    <row r="48">
      <c r="A48" s="6" t="inlineStr">
        <is>
          <t>SELECTED CASE ASSUMPTIONS</t>
        </is>
      </c>
      <c r="B48" s="7" t="n"/>
      <c r="C48" s="7" t="n"/>
      <c r="D48" s="7" t="n"/>
      <c r="E48" s="7" t="n"/>
      <c r="F48" s="8" t="n"/>
      <c r="G48" s="19" t="n"/>
    </row>
    <row r="49">
      <c r="A49" s="20" t="inlineStr">
        <is>
          <t>Assumption</t>
        </is>
      </c>
      <c r="B49" s="21" t="inlineStr">
        <is>
          <t>FY2026E</t>
        </is>
      </c>
      <c r="C49" s="21" t="inlineStr">
        <is>
          <t>FY2027E</t>
        </is>
      </c>
      <c r="D49" s="21" t="inlineStr">
        <is>
          <t>FY2028E</t>
        </is>
      </c>
      <c r="E49" s="21" t="inlineStr">
        <is>
          <t>FY2029E</t>
        </is>
      </c>
      <c r="F49" s="22" t="inlineStr">
        <is>
          <t>FY2030E</t>
        </is>
      </c>
    </row>
    <row r="50">
      <c r="A50" s="27" t="inlineStr">
        <is>
          <t>Revenue Growth (%)</t>
        </is>
      </c>
      <c r="B50" s="48">
        <f>IF($B$4=1,B17,IF($B$4=2,B28,B39))</f>
        <v/>
      </c>
      <c r="C50" s="48">
        <f>IF($B$4=1,C17,IF($B$4=2,C28,C39))</f>
        <v/>
      </c>
      <c r="D50" s="48">
        <f>IF($B$4=1,D17,IF($B$4=2,D28,D39))</f>
        <v/>
      </c>
      <c r="E50" s="48">
        <f>IF($B$4=1,E17,IF($B$4=2,E28,E39))</f>
        <v/>
      </c>
      <c r="F50" s="49">
        <f>IF($B$4=1,F17,IF($B$4=2,F28,F39))</f>
        <v/>
      </c>
    </row>
    <row r="51">
      <c r="A51" s="27" t="inlineStr">
        <is>
          <t>EBIT Margin (%)</t>
        </is>
      </c>
      <c r="B51" s="48">
        <f>IF($B$4=1,B18,IF($B$4=2,B29,B40))</f>
        <v/>
      </c>
      <c r="C51" s="48">
        <f>IF($B$4=1,C18,IF($B$4=2,C29,C40))</f>
        <v/>
      </c>
      <c r="D51" s="48">
        <f>IF($B$4=1,D18,IF($B$4=2,D29,D40))</f>
        <v/>
      </c>
      <c r="E51" s="48">
        <f>IF($B$4=1,E18,IF($B$4=2,E29,E40))</f>
        <v/>
      </c>
      <c r="F51" s="49">
        <f>IF($B$4=1,F18,IF($B$4=2,F29,F40))</f>
        <v/>
      </c>
    </row>
    <row r="52">
      <c r="A52" s="27" t="inlineStr">
        <is>
          <t>Tax Rate (%)</t>
        </is>
      </c>
      <c r="B52" s="48">
        <f>IF($B$4=1,B19,IF($B$4=2,B30,B41))</f>
        <v/>
      </c>
      <c r="C52" s="48">
        <f>IF($B$4=1,C19,IF($B$4=2,C30,C41))</f>
        <v/>
      </c>
      <c r="D52" s="48">
        <f>IF($B$4=1,D19,IF($B$4=2,D30,D41))</f>
        <v/>
      </c>
      <c r="E52" s="48">
        <f>IF($B$4=1,E19,IF($B$4=2,E30,E41))</f>
        <v/>
      </c>
      <c r="F52" s="49">
        <f>IF($B$4=1,F19,IF($B$4=2,F30,F41))</f>
        <v/>
      </c>
    </row>
    <row r="53">
      <c r="A53" s="27" t="inlineStr">
        <is>
          <t>D&amp;A (% of Revenue)</t>
        </is>
      </c>
      <c r="B53" s="48">
        <f>IF($B$4=1,B20,IF($B$4=2,B31,B42))</f>
        <v/>
      </c>
      <c r="C53" s="48">
        <f>IF($B$4=1,C20,IF($B$4=2,C31,C42))</f>
        <v/>
      </c>
      <c r="D53" s="48">
        <f>IF($B$4=1,D20,IF($B$4=2,D31,D42))</f>
        <v/>
      </c>
      <c r="E53" s="48">
        <f>IF($B$4=1,E20,IF($B$4=2,E31,E42))</f>
        <v/>
      </c>
      <c r="F53" s="49">
        <f>IF($B$4=1,F20,IF($B$4=2,F31,F42))</f>
        <v/>
      </c>
    </row>
    <row r="54">
      <c r="A54" s="27" t="inlineStr">
        <is>
          <t>CapEx (% of Revenue)</t>
        </is>
      </c>
      <c r="B54" s="48">
        <f>IF($B$4=1,B21,IF($B$4=2,B32,B43))</f>
        <v/>
      </c>
      <c r="C54" s="48">
        <f>IF($B$4=1,C21,IF($B$4=2,C32,C43))</f>
        <v/>
      </c>
      <c r="D54" s="48">
        <f>IF($B$4=1,D21,IF($B$4=2,D32,D43))</f>
        <v/>
      </c>
      <c r="E54" s="48">
        <f>IF($B$4=1,E21,IF($B$4=2,E32,E43))</f>
        <v/>
      </c>
      <c r="F54" s="49">
        <f>IF($B$4=1,F21,IF($B$4=2,F32,F43))</f>
        <v/>
      </c>
    </row>
    <row r="55">
      <c r="A55" s="27" t="inlineStr">
        <is>
          <t>NWC Change (% of ΔRev)</t>
        </is>
      </c>
      <c r="B55" s="48">
        <f>IF($B$4=1,B22,IF($B$4=2,B33,B44))</f>
        <v/>
      </c>
      <c r="C55" s="48">
        <f>IF($B$4=1,C22,IF($B$4=2,C33,C44))</f>
        <v/>
      </c>
      <c r="D55" s="48">
        <f>IF($B$4=1,D22,IF($B$4=2,D33,D44))</f>
        <v/>
      </c>
      <c r="E55" s="48">
        <f>IF($B$4=1,E22,IF($B$4=2,E33,E44))</f>
        <v/>
      </c>
      <c r="F55" s="49">
        <f>IF($B$4=1,F22,IF($B$4=2,F33,F44))</f>
        <v/>
      </c>
    </row>
    <row r="56">
      <c r="A56" s="27" t="inlineStr">
        <is>
          <t>Terminal Growth Rate</t>
        </is>
      </c>
      <c r="B56" s="48">
        <f>IF($B$4=1,B23,IF($B$4=2,B34,B45))</f>
        <v/>
      </c>
      <c r="C56" s="11" t="n"/>
      <c r="D56" s="11" t="n"/>
      <c r="E56" s="11" t="n"/>
      <c r="F56" s="12" t="n"/>
    </row>
    <row r="57">
      <c r="A57" s="30" t="inlineStr">
        <is>
          <t>WACC (Selected)</t>
        </is>
      </c>
      <c r="B57" s="50">
        <f>IF($B$4=1,B24,IF($B$4=2,WACC!B31,B46))</f>
        <v/>
      </c>
      <c r="C57" s="17" t="n"/>
      <c r="D57" s="17" t="n"/>
      <c r="E57" s="17" t="n"/>
      <c r="F57" s="18" t="n"/>
    </row>
    <row r="59">
      <c r="A59" s="6" t="inlineStr">
        <is>
          <t>HISTORICAL &amp; PROJECTED FINANCIALS ($M)</t>
        </is>
      </c>
      <c r="B59" s="7" t="n"/>
      <c r="C59" s="7" t="n"/>
      <c r="D59" s="7" t="n"/>
      <c r="E59" s="7" t="n"/>
      <c r="F59" s="7" t="n"/>
      <c r="G59" s="7" t="n"/>
      <c r="H59" s="7" t="n"/>
      <c r="I59" s="7" t="n"/>
      <c r="J59" s="7" t="n"/>
      <c r="K59" s="7" t="n"/>
      <c r="L59" s="8" t="n"/>
    </row>
    <row r="60">
      <c r="A60" s="20" t="inlineStr"/>
      <c r="B60" s="21" t="inlineStr">
        <is>
          <t>FY2020A</t>
        </is>
      </c>
      <c r="C60" s="21" t="inlineStr">
        <is>
          <t>FY2021A</t>
        </is>
      </c>
      <c r="D60" s="21" t="inlineStr">
        <is>
          <t>FY2022A</t>
        </is>
      </c>
      <c r="E60" s="21" t="inlineStr">
        <is>
          <t>FY2023A</t>
        </is>
      </c>
      <c r="F60" s="21" t="inlineStr">
        <is>
          <t>FY2024A</t>
        </is>
      </c>
      <c r="G60" s="21" t="inlineStr">
        <is>
          <t>FY2025A</t>
        </is>
      </c>
      <c r="H60" s="21" t="inlineStr">
        <is>
          <t>FY2026E</t>
        </is>
      </c>
      <c r="I60" s="21" t="inlineStr">
        <is>
          <t>FY2027E</t>
        </is>
      </c>
      <c r="J60" s="21" t="inlineStr">
        <is>
          <t>FY2028E</t>
        </is>
      </c>
      <c r="K60" s="21" t="inlineStr">
        <is>
          <t>FY2029E</t>
        </is>
      </c>
      <c r="L60" s="22" t="inlineStr">
        <is>
          <t>FY2030E</t>
        </is>
      </c>
    </row>
    <row r="61">
      <c r="A61" s="27" t="inlineStr">
        <is>
          <t>Revenue</t>
        </is>
      </c>
      <c r="B61" s="51" t="n">
        <v>386064</v>
      </c>
      <c r="C61" s="51" t="n">
        <v>469822</v>
      </c>
      <c r="D61" s="51" t="n">
        <v>513983</v>
      </c>
      <c r="E61" s="51" t="n">
        <v>574785</v>
      </c>
      <c r="F61" s="51" t="n">
        <v>637959</v>
      </c>
      <c r="G61" s="51" t="n">
        <v>716900</v>
      </c>
      <c r="H61" s="52">
        <f>G61*(1+B50)</f>
        <v/>
      </c>
      <c r="I61" s="52">
        <f>H61*(1+C50)</f>
        <v/>
      </c>
      <c r="J61" s="52">
        <f>I61*(1+D50)</f>
        <v/>
      </c>
      <c r="K61" s="52">
        <f>J61*(1+E50)</f>
        <v/>
      </c>
      <c r="L61" s="53">
        <f>K61*(1+F50)</f>
        <v/>
      </c>
    </row>
    <row r="62">
      <c r="A62" s="9" t="inlineStr">
        <is>
          <t xml:space="preserve">  % Growth</t>
        </is>
      </c>
      <c r="B62" s="11" t="n"/>
      <c r="C62" s="48">
        <f>C61/B61-1</f>
        <v/>
      </c>
      <c r="D62" s="48">
        <f>D61/C61-1</f>
        <v/>
      </c>
      <c r="E62" s="48">
        <f>E61/D61-1</f>
        <v/>
      </c>
      <c r="F62" s="48">
        <f>F61/E61-1</f>
        <v/>
      </c>
      <c r="G62" s="48">
        <f>G61/F61-1</f>
        <v/>
      </c>
      <c r="H62" s="48">
        <f>H61/G61-1</f>
        <v/>
      </c>
      <c r="I62" s="48">
        <f>I61/H61-1</f>
        <v/>
      </c>
      <c r="J62" s="48">
        <f>J61/I61-1</f>
        <v/>
      </c>
      <c r="K62" s="48">
        <f>K61/J61-1</f>
        <v/>
      </c>
      <c r="L62" s="49">
        <f>L61/K61-1</f>
        <v/>
      </c>
    </row>
    <row r="63">
      <c r="A63" s="38" t="n"/>
      <c r="B63" s="11" t="n"/>
      <c r="C63" s="11" t="n"/>
      <c r="D63" s="11" t="n"/>
      <c r="E63" s="11" t="n"/>
      <c r="F63" s="11" t="n"/>
      <c r="G63" s="11" t="n"/>
      <c r="H63" s="11" t="n"/>
      <c r="I63" s="11" t="n"/>
      <c r="J63" s="11" t="n"/>
      <c r="K63" s="11" t="n"/>
      <c r="L63" s="12" t="n"/>
    </row>
    <row r="64">
      <c r="A64" s="9" t="inlineStr">
        <is>
          <t>Cost of Revenue</t>
        </is>
      </c>
      <c r="B64" s="51" t="n">
        <v>233307</v>
      </c>
      <c r="C64" s="51" t="n">
        <v>272344</v>
      </c>
      <c r="D64" s="51" t="n">
        <v>288831</v>
      </c>
      <c r="E64" s="51" t="n">
        <v>304739</v>
      </c>
      <c r="F64" s="51" t="n">
        <v>326288</v>
      </c>
      <c r="G64" s="51" t="n">
        <v>358000</v>
      </c>
      <c r="H64" s="52">
        <f>H61*0.50</f>
        <v/>
      </c>
      <c r="I64" s="52">
        <f>I61*0.50</f>
        <v/>
      </c>
      <c r="J64" s="52">
        <f>J61*0.50</f>
        <v/>
      </c>
      <c r="K64" s="52">
        <f>K61*0.50</f>
        <v/>
      </c>
      <c r="L64" s="53">
        <f>L61*0.50</f>
        <v/>
      </c>
    </row>
    <row r="65">
      <c r="A65" s="27" t="inlineStr">
        <is>
          <t>Gross Profit</t>
        </is>
      </c>
      <c r="B65" s="51" t="n">
        <v>152757</v>
      </c>
      <c r="C65" s="51" t="n">
        <v>197478</v>
      </c>
      <c r="D65" s="51" t="n">
        <v>225152</v>
      </c>
      <c r="E65" s="51" t="n">
        <v>270046</v>
      </c>
      <c r="F65" s="51" t="n">
        <v>311671</v>
      </c>
      <c r="G65" s="51" t="n">
        <v>358900</v>
      </c>
      <c r="H65" s="52">
        <f>H61-H64</f>
        <v/>
      </c>
      <c r="I65" s="52">
        <f>I61-I64</f>
        <v/>
      </c>
      <c r="J65" s="52">
        <f>J61-J64</f>
        <v/>
      </c>
      <c r="K65" s="52">
        <f>K61-K64</f>
        <v/>
      </c>
      <c r="L65" s="53">
        <f>L61-L64</f>
        <v/>
      </c>
    </row>
    <row r="66">
      <c r="A66" s="9" t="inlineStr">
        <is>
          <t xml:space="preserve">  Gross Margin %</t>
        </is>
      </c>
      <c r="B66" s="45">
        <f>B65/B61</f>
        <v/>
      </c>
      <c r="C66" s="45">
        <f>C65/C61</f>
        <v/>
      </c>
      <c r="D66" s="45">
        <f>D65/D61</f>
        <v/>
      </c>
      <c r="E66" s="45">
        <f>E65/E61</f>
        <v/>
      </c>
      <c r="F66" s="45">
        <f>F65/F61</f>
        <v/>
      </c>
      <c r="G66" s="45">
        <f>G65/G61</f>
        <v/>
      </c>
      <c r="H66" s="48">
        <f>H65/H61</f>
        <v/>
      </c>
      <c r="I66" s="48">
        <f>I65/I61</f>
        <v/>
      </c>
      <c r="J66" s="48">
        <f>J65/J61</f>
        <v/>
      </c>
      <c r="K66" s="48">
        <f>K65/K61</f>
        <v/>
      </c>
      <c r="L66" s="49">
        <f>L65/L61</f>
        <v/>
      </c>
    </row>
    <row r="67">
      <c r="A67" s="38" t="n"/>
      <c r="B67" s="11" t="n"/>
      <c r="C67" s="11" t="n"/>
      <c r="D67" s="11" t="n"/>
      <c r="E67" s="11" t="n"/>
      <c r="F67" s="11" t="n"/>
      <c r="G67" s="11" t="n"/>
      <c r="H67" s="11" t="n"/>
      <c r="I67" s="11" t="n"/>
      <c r="J67" s="11" t="n"/>
      <c r="K67" s="11" t="n"/>
      <c r="L67" s="12" t="n"/>
    </row>
    <row r="68">
      <c r="A68" s="27" t="inlineStr">
        <is>
          <t>Operating Expenses:</t>
        </is>
      </c>
      <c r="B68" s="11" t="n"/>
      <c r="C68" s="11" t="n"/>
      <c r="D68" s="11" t="n"/>
      <c r="E68" s="11" t="n"/>
      <c r="F68" s="11" t="n"/>
      <c r="G68" s="11" t="n"/>
      <c r="H68" s="11" t="n"/>
      <c r="I68" s="11" t="n"/>
      <c r="J68" s="11" t="n"/>
      <c r="K68" s="11" t="n"/>
      <c r="L68" s="12" t="n"/>
    </row>
    <row r="69">
      <c r="A69" s="9" t="inlineStr">
        <is>
          <t xml:space="preserve">  Fulfillment &amp; S&amp;M</t>
        </is>
      </c>
      <c r="B69" s="51" t="n">
        <v>80525</v>
      </c>
      <c r="C69" s="51" t="n">
        <v>107662</v>
      </c>
      <c r="D69" s="51" t="n">
        <v>126537</v>
      </c>
      <c r="E69" s="51" t="n">
        <v>134989</v>
      </c>
      <c r="F69" s="51" t="n">
        <v>142412</v>
      </c>
      <c r="G69" s="51" t="n">
        <v>155000</v>
      </c>
      <c r="H69" s="52">
        <f>H61*0.2</f>
        <v/>
      </c>
      <c r="I69" s="52">
        <f>I61*0.19</f>
        <v/>
      </c>
      <c r="J69" s="52">
        <f>J61*0.18</f>
        <v/>
      </c>
      <c r="K69" s="52">
        <f>K61*0.175</f>
        <v/>
      </c>
      <c r="L69" s="53">
        <f>L61*0.17</f>
        <v/>
      </c>
    </row>
    <row r="70">
      <c r="A70" s="9" t="inlineStr">
        <is>
          <t xml:space="preserve">  Technology &amp; Content</t>
        </is>
      </c>
      <c r="B70" s="51" t="n">
        <v>42740</v>
      </c>
      <c r="C70" s="51" t="n">
        <v>56052</v>
      </c>
      <c r="D70" s="51" t="n">
        <v>73213</v>
      </c>
      <c r="E70" s="51" t="n">
        <v>85622</v>
      </c>
      <c r="F70" s="51" t="n">
        <v>88544</v>
      </c>
      <c r="G70" s="51" t="n">
        <v>100000</v>
      </c>
      <c r="H70" s="52">
        <f>H61*0.13</f>
        <v/>
      </c>
      <c r="I70" s="52">
        <f>I61*0.125</f>
        <v/>
      </c>
      <c r="J70" s="52">
        <f>J61*0.12</f>
        <v/>
      </c>
      <c r="K70" s="52">
        <f>K61*0.115</f>
        <v/>
      </c>
      <c r="L70" s="53">
        <f>L61*0.11</f>
        <v/>
      </c>
    </row>
    <row r="71">
      <c r="A71" s="9" t="inlineStr">
        <is>
          <t xml:space="preserve">  General &amp; Administrative</t>
        </is>
      </c>
      <c r="B71" s="51" t="n">
        <v>6668</v>
      </c>
      <c r="C71" s="51" t="n">
        <v>8823</v>
      </c>
      <c r="D71" s="51" t="n">
        <v>11891</v>
      </c>
      <c r="E71" s="51" t="n">
        <v>11816</v>
      </c>
      <c r="F71" s="51" t="n">
        <v>11359</v>
      </c>
      <c r="G71" s="51" t="n">
        <v>12000</v>
      </c>
      <c r="H71" s="52">
        <f>H61*0.015</f>
        <v/>
      </c>
      <c r="I71" s="52">
        <f>I61*0.015</f>
        <v/>
      </c>
      <c r="J71" s="52">
        <f>J61*0.014</f>
        <v/>
      </c>
      <c r="K71" s="52">
        <f>K61*0.014</f>
        <v/>
      </c>
      <c r="L71" s="53">
        <f>L61*0.013</f>
        <v/>
      </c>
    </row>
    <row r="72">
      <c r="A72" s="27" t="inlineStr">
        <is>
          <t xml:space="preserve">  Total Operating Expenses</t>
        </is>
      </c>
      <c r="B72" s="52">
        <f>B69+B70+B71</f>
        <v/>
      </c>
      <c r="C72" s="52">
        <f>C69+C70+C71</f>
        <v/>
      </c>
      <c r="D72" s="52">
        <f>D69+D70+D71</f>
        <v/>
      </c>
      <c r="E72" s="52">
        <f>E69+E70+E71</f>
        <v/>
      </c>
      <c r="F72" s="52">
        <f>F69+F70+F71</f>
        <v/>
      </c>
      <c r="G72" s="52">
        <f>G69+G70+G71</f>
        <v/>
      </c>
      <c r="H72" s="52">
        <f>H69+H70+H71</f>
        <v/>
      </c>
      <c r="I72" s="52">
        <f>I69+I70+I71</f>
        <v/>
      </c>
      <c r="J72" s="52">
        <f>J69+J70+J71</f>
        <v/>
      </c>
      <c r="K72" s="52">
        <f>K69+K70+K71</f>
        <v/>
      </c>
      <c r="L72" s="53">
        <f>L69+L70+L71</f>
        <v/>
      </c>
    </row>
    <row r="73">
      <c r="A73" s="38" t="n"/>
      <c r="B73" s="11" t="n"/>
      <c r="C73" s="11" t="n"/>
      <c r="D73" s="11" t="n"/>
      <c r="E73" s="11" t="n"/>
      <c r="F73" s="11" t="n"/>
      <c r="G73" s="11" t="n"/>
      <c r="H73" s="11" t="n"/>
      <c r="I73" s="11" t="n"/>
      <c r="J73" s="11" t="n"/>
      <c r="K73" s="11" t="n"/>
      <c r="L73" s="12" t="n"/>
    </row>
    <row r="74">
      <c r="A74" s="27" t="inlineStr">
        <is>
          <t>EBIT (Operating Income)</t>
        </is>
      </c>
      <c r="B74" s="51" t="n">
        <v>22899</v>
      </c>
      <c r="C74" s="51" t="n">
        <v>24879</v>
      </c>
      <c r="D74" s="51" t="n">
        <v>12248</v>
      </c>
      <c r="E74" s="51" t="n">
        <v>36852</v>
      </c>
      <c r="F74" s="51" t="n">
        <v>68593</v>
      </c>
      <c r="G74" s="51" t="n">
        <v>80000</v>
      </c>
      <c r="H74" s="52">
        <f>H61*B51</f>
        <v/>
      </c>
      <c r="I74" s="52">
        <f>I61*C51</f>
        <v/>
      </c>
      <c r="J74" s="52">
        <f>J61*D51</f>
        <v/>
      </c>
      <c r="K74" s="52">
        <f>K61*E51</f>
        <v/>
      </c>
      <c r="L74" s="53">
        <f>L61*F51</f>
        <v/>
      </c>
    </row>
    <row r="75">
      <c r="A75" s="9" t="inlineStr">
        <is>
          <t xml:space="preserve">  EBIT Margin %</t>
        </is>
      </c>
      <c r="B75" s="48">
        <f>B74/B61</f>
        <v/>
      </c>
      <c r="C75" s="48">
        <f>C74/C61</f>
        <v/>
      </c>
      <c r="D75" s="48">
        <f>D74/D61</f>
        <v/>
      </c>
      <c r="E75" s="48">
        <f>E74/E61</f>
        <v/>
      </c>
      <c r="F75" s="48">
        <f>F74/F61</f>
        <v/>
      </c>
      <c r="G75" s="48">
        <f>G74/G61</f>
        <v/>
      </c>
      <c r="H75" s="48">
        <f>H74/H61</f>
        <v/>
      </c>
      <c r="I75" s="48">
        <f>I74/I61</f>
        <v/>
      </c>
      <c r="J75" s="48">
        <f>J74/J61</f>
        <v/>
      </c>
      <c r="K75" s="48">
        <f>K74/K61</f>
        <v/>
      </c>
      <c r="L75" s="49">
        <f>L74/L61</f>
        <v/>
      </c>
    </row>
    <row r="76">
      <c r="A76" s="38" t="n"/>
      <c r="B76" s="11" t="n"/>
      <c r="C76" s="11" t="n"/>
      <c r="D76" s="11" t="n"/>
      <c r="E76" s="11" t="n"/>
      <c r="F76" s="11" t="n"/>
      <c r="G76" s="11" t="n"/>
      <c r="H76" s="11" t="n"/>
      <c r="I76" s="11" t="n"/>
      <c r="J76" s="11" t="n"/>
      <c r="K76" s="11" t="n"/>
      <c r="L76" s="12" t="n"/>
    </row>
    <row r="77">
      <c r="A77" s="9" t="inlineStr">
        <is>
          <t>(-) Taxes on EBIT</t>
        </is>
      </c>
      <c r="B77" s="51" t="n">
        <v>-4809</v>
      </c>
      <c r="C77" s="51" t="n">
        <v>-5220</v>
      </c>
      <c r="D77" s="51" t="n">
        <v>-2572</v>
      </c>
      <c r="E77" s="51" t="n">
        <v>-7739</v>
      </c>
      <c r="F77" s="51" t="n">
        <v>-14405</v>
      </c>
      <c r="G77" s="51" t="n">
        <v>-16800</v>
      </c>
      <c r="H77" s="52">
        <f>-H74*B52</f>
        <v/>
      </c>
      <c r="I77" s="52">
        <f>-I74*C52</f>
        <v/>
      </c>
      <c r="J77" s="52">
        <f>-J74*D52</f>
        <v/>
      </c>
      <c r="K77" s="52">
        <f>-K74*E52</f>
        <v/>
      </c>
      <c r="L77" s="53">
        <f>-L74*F52</f>
        <v/>
      </c>
    </row>
    <row r="78">
      <c r="A78" s="30" t="inlineStr">
        <is>
          <t>NOPAT</t>
        </is>
      </c>
      <c r="B78" s="54">
        <f>B74+B77</f>
        <v/>
      </c>
      <c r="C78" s="54">
        <f>C74+C77</f>
        <v/>
      </c>
      <c r="D78" s="54">
        <f>D74+D77</f>
        <v/>
      </c>
      <c r="E78" s="54">
        <f>E74+E77</f>
        <v/>
      </c>
      <c r="F78" s="54">
        <f>F74+F77</f>
        <v/>
      </c>
      <c r="G78" s="54">
        <f>G74+G77</f>
        <v/>
      </c>
      <c r="H78" s="54">
        <f>H74+H77</f>
        <v/>
      </c>
      <c r="I78" s="54">
        <f>I74+I77</f>
        <v/>
      </c>
      <c r="J78" s="54">
        <f>J74+J77</f>
        <v/>
      </c>
      <c r="K78" s="54">
        <f>K74+K77</f>
        <v/>
      </c>
      <c r="L78" s="55">
        <f>L74+L77</f>
        <v/>
      </c>
    </row>
    <row r="80">
      <c r="A80" s="6" t="inlineStr">
        <is>
          <t>FREE CASH FLOW BUILD ($M)</t>
        </is>
      </c>
      <c r="B80" s="7" t="n"/>
      <c r="C80" s="7" t="n"/>
      <c r="D80" s="7" t="n"/>
      <c r="E80" s="7" t="n"/>
      <c r="F80" s="7" t="n"/>
      <c r="G80" s="7" t="n"/>
      <c r="H80" s="7" t="n"/>
      <c r="I80" s="7" t="n"/>
      <c r="J80" s="7" t="n"/>
      <c r="K80" s="7" t="n"/>
      <c r="L80" s="8" t="n"/>
    </row>
    <row r="81">
      <c r="A81" s="20" t="inlineStr"/>
      <c r="B81" s="21" t="inlineStr">
        <is>
          <t>FY2020A</t>
        </is>
      </c>
      <c r="C81" s="21" t="inlineStr">
        <is>
          <t>FY2021A</t>
        </is>
      </c>
      <c r="D81" s="21" t="inlineStr">
        <is>
          <t>FY2022A</t>
        </is>
      </c>
      <c r="E81" s="21" t="inlineStr">
        <is>
          <t>FY2023A</t>
        </is>
      </c>
      <c r="F81" s="21" t="inlineStr">
        <is>
          <t>FY2024A</t>
        </is>
      </c>
      <c r="G81" s="21" t="inlineStr">
        <is>
          <t>FY2025A</t>
        </is>
      </c>
      <c r="H81" s="21" t="inlineStr">
        <is>
          <t>FY2026E</t>
        </is>
      </c>
      <c r="I81" s="21" t="inlineStr">
        <is>
          <t>FY2027E</t>
        </is>
      </c>
      <c r="J81" s="21" t="inlineStr">
        <is>
          <t>FY2028E</t>
        </is>
      </c>
      <c r="K81" s="21" t="inlineStr">
        <is>
          <t>FY2029E</t>
        </is>
      </c>
      <c r="L81" s="22" t="inlineStr">
        <is>
          <t>FY2030E</t>
        </is>
      </c>
    </row>
    <row r="82">
      <c r="A82" s="9" t="inlineStr">
        <is>
          <t>NOPAT</t>
        </is>
      </c>
      <c r="B82" s="52">
        <f>B78</f>
        <v/>
      </c>
      <c r="C82" s="52">
        <f>C78</f>
        <v/>
      </c>
      <c r="D82" s="52">
        <f>D78</f>
        <v/>
      </c>
      <c r="E82" s="52">
        <f>E78</f>
        <v/>
      </c>
      <c r="F82" s="52">
        <f>F78</f>
        <v/>
      </c>
      <c r="G82" s="52">
        <f>G78</f>
        <v/>
      </c>
      <c r="H82" s="52">
        <f>H78</f>
        <v/>
      </c>
      <c r="I82" s="52">
        <f>I78</f>
        <v/>
      </c>
      <c r="J82" s="52">
        <f>J78</f>
        <v/>
      </c>
      <c r="K82" s="52">
        <f>K78</f>
        <v/>
      </c>
      <c r="L82" s="53">
        <f>L78</f>
        <v/>
      </c>
    </row>
    <row r="83">
      <c r="A83" s="9" t="inlineStr">
        <is>
          <t>(+) D&amp;A</t>
        </is>
      </c>
      <c r="B83" s="51" t="n">
        <v>25251</v>
      </c>
      <c r="C83" s="51" t="n">
        <v>34433</v>
      </c>
      <c r="D83" s="51" t="n">
        <v>41921</v>
      </c>
      <c r="E83" s="51" t="n">
        <v>48663</v>
      </c>
      <c r="F83" s="51" t="n">
        <v>52795</v>
      </c>
      <c r="G83" s="51" t="n">
        <v>58000</v>
      </c>
      <c r="H83" s="52">
        <f>H61*B53</f>
        <v/>
      </c>
      <c r="I83" s="52">
        <f>I61*C53</f>
        <v/>
      </c>
      <c r="J83" s="52">
        <f>J61*D53</f>
        <v/>
      </c>
      <c r="K83" s="52">
        <f>K61*E53</f>
        <v/>
      </c>
      <c r="L83" s="53">
        <f>L61*F53</f>
        <v/>
      </c>
    </row>
    <row r="84">
      <c r="A84" s="9" t="inlineStr">
        <is>
          <t xml:space="preserve">  D&amp;A % of Revenue</t>
        </is>
      </c>
      <c r="B84" s="48">
        <f>B83/B61</f>
        <v/>
      </c>
      <c r="C84" s="48">
        <f>C83/C61</f>
        <v/>
      </c>
      <c r="D84" s="48">
        <f>D83/D61</f>
        <v/>
      </c>
      <c r="E84" s="48">
        <f>E83/E61</f>
        <v/>
      </c>
      <c r="F84" s="48">
        <f>F83/F61</f>
        <v/>
      </c>
      <c r="G84" s="48">
        <f>G83/G61</f>
        <v/>
      </c>
      <c r="H84" s="48">
        <f>H83/H61</f>
        <v/>
      </c>
      <c r="I84" s="48">
        <f>I83/I61</f>
        <v/>
      </c>
      <c r="J84" s="48">
        <f>J83/J61</f>
        <v/>
      </c>
      <c r="K84" s="48">
        <f>K83/K61</f>
        <v/>
      </c>
      <c r="L84" s="49">
        <f>L83/L61</f>
        <v/>
      </c>
    </row>
    <row r="85">
      <c r="A85" s="38" t="n"/>
      <c r="B85" s="11" t="n"/>
      <c r="C85" s="11" t="n"/>
      <c r="D85" s="11" t="n"/>
      <c r="E85" s="11" t="n"/>
      <c r="F85" s="11" t="n"/>
      <c r="G85" s="11" t="n"/>
      <c r="H85" s="11" t="n"/>
      <c r="I85" s="11" t="n"/>
      <c r="J85" s="11" t="n"/>
      <c r="K85" s="11" t="n"/>
      <c r="L85" s="12" t="n"/>
    </row>
    <row r="86">
      <c r="A86" s="9" t="inlineStr">
        <is>
          <t>(-) CapEx</t>
        </is>
      </c>
      <c r="B86" s="51" t="n">
        <v>-40140</v>
      </c>
      <c r="C86" s="51" t="n">
        <v>-61053</v>
      </c>
      <c r="D86" s="51" t="n">
        <v>-63645</v>
      </c>
      <c r="E86" s="51" t="n">
        <v>-52729</v>
      </c>
      <c r="F86" s="51" t="n">
        <v>-82999</v>
      </c>
      <c r="G86" s="51" t="n">
        <v>-131800</v>
      </c>
      <c r="H86" s="52">
        <f>-H61*B54</f>
        <v/>
      </c>
      <c r="I86" s="52">
        <f>-I61*C54</f>
        <v/>
      </c>
      <c r="J86" s="52">
        <f>-J61*D54</f>
        <v/>
      </c>
      <c r="K86" s="52">
        <f>-K61*E54</f>
        <v/>
      </c>
      <c r="L86" s="53">
        <f>-L61*F54</f>
        <v/>
      </c>
    </row>
    <row r="87">
      <c r="A87" s="9" t="inlineStr">
        <is>
          <t xml:space="preserve">  CapEx % of Revenue</t>
        </is>
      </c>
      <c r="B87" s="48">
        <f>-B86/B61</f>
        <v/>
      </c>
      <c r="C87" s="48">
        <f>-C86/C61</f>
        <v/>
      </c>
      <c r="D87" s="48">
        <f>-D86/D61</f>
        <v/>
      </c>
      <c r="E87" s="48">
        <f>-E86/E61</f>
        <v/>
      </c>
      <c r="F87" s="48">
        <f>-F86/F61</f>
        <v/>
      </c>
      <c r="G87" s="48">
        <f>-G86/G61</f>
        <v/>
      </c>
      <c r="H87" s="48">
        <f>-H86/H61</f>
        <v/>
      </c>
      <c r="I87" s="48">
        <f>-I86/I61</f>
        <v/>
      </c>
      <c r="J87" s="48">
        <f>-J86/J61</f>
        <v/>
      </c>
      <c r="K87" s="48">
        <f>-K86/K61</f>
        <v/>
      </c>
      <c r="L87" s="49">
        <f>-L86/L61</f>
        <v/>
      </c>
    </row>
    <row r="88">
      <c r="A88" s="38" t="n"/>
      <c r="B88" s="11" t="n"/>
      <c r="C88" s="11" t="n"/>
      <c r="D88" s="11" t="n"/>
      <c r="E88" s="11" t="n"/>
      <c r="F88" s="11" t="n"/>
      <c r="G88" s="11" t="n"/>
      <c r="H88" s="11" t="n"/>
      <c r="I88" s="11" t="n"/>
      <c r="J88" s="11" t="n"/>
      <c r="K88" s="11" t="n"/>
      <c r="L88" s="12" t="n"/>
    </row>
    <row r="89">
      <c r="A89" s="9" t="inlineStr">
        <is>
          <t>(-) Δ NWC</t>
        </is>
      </c>
      <c r="B89" s="51" t="n">
        <v>-1100</v>
      </c>
      <c r="C89" s="51" t="n">
        <v>-19611</v>
      </c>
      <c r="D89" s="51" t="n">
        <v>-20886</v>
      </c>
      <c r="E89" s="51" t="n">
        <v>-11541</v>
      </c>
      <c r="F89" s="51" t="n">
        <v>-15541</v>
      </c>
      <c r="G89" s="51" t="n">
        <v>-12000</v>
      </c>
      <c r="H89" s="52">
        <f>-(H61-G61)*B55</f>
        <v/>
      </c>
      <c r="I89" s="52">
        <f>-(I61-H61)*C55</f>
        <v/>
      </c>
      <c r="J89" s="52">
        <f>-(J61-I61)*D55</f>
        <v/>
      </c>
      <c r="K89" s="52">
        <f>-(K61-J61)*E55</f>
        <v/>
      </c>
      <c r="L89" s="53">
        <f>-(L61-K61)*F55</f>
        <v/>
      </c>
    </row>
    <row r="90">
      <c r="A90" s="9" t="inlineStr">
        <is>
          <t xml:space="preserve">  NWC % of Δ Revenue</t>
        </is>
      </c>
      <c r="B90" s="11" t="n"/>
      <c r="C90" s="48">
        <f>-C89/(C61-B61)</f>
        <v/>
      </c>
      <c r="D90" s="48">
        <f>-D89/(D61-C61)</f>
        <v/>
      </c>
      <c r="E90" s="48">
        <f>-E89/(E61-D61)</f>
        <v/>
      </c>
      <c r="F90" s="48">
        <f>-F89/(F61-E61)</f>
        <v/>
      </c>
      <c r="G90" s="48">
        <f>-G89/(G61-F61)</f>
        <v/>
      </c>
      <c r="H90" s="48">
        <f>-H89/(H61-G61)</f>
        <v/>
      </c>
      <c r="I90" s="48">
        <f>-I89/(I61-H61)</f>
        <v/>
      </c>
      <c r="J90" s="48">
        <f>-J89/(J61-I61)</f>
        <v/>
      </c>
      <c r="K90" s="48">
        <f>-K89/(K61-J61)</f>
        <v/>
      </c>
      <c r="L90" s="49">
        <f>-L89/(L61-K61)</f>
        <v/>
      </c>
    </row>
    <row r="91">
      <c r="A91" s="38" t="n"/>
      <c r="B91" s="11" t="n"/>
      <c r="C91" s="11" t="n"/>
      <c r="D91" s="11" t="n"/>
      <c r="E91" s="11" t="n"/>
      <c r="F91" s="11" t="n"/>
      <c r="G91" s="11" t="n"/>
      <c r="H91" s="11" t="n"/>
      <c r="I91" s="11" t="n"/>
      <c r="J91" s="11" t="n"/>
      <c r="K91" s="11" t="n"/>
      <c r="L91" s="12" t="n"/>
    </row>
    <row r="92">
      <c r="A92" s="27" t="inlineStr">
        <is>
          <t>Unlevered Free Cash Flow</t>
        </is>
      </c>
      <c r="B92" s="52">
        <f>B82+B83+B86+B89</f>
        <v/>
      </c>
      <c r="C92" s="52">
        <f>C82+C83+C86+C89</f>
        <v/>
      </c>
      <c r="D92" s="52">
        <f>D82+D83+D86+D89</f>
        <v/>
      </c>
      <c r="E92" s="52">
        <f>E82+E83+E86+E89</f>
        <v/>
      </c>
      <c r="F92" s="52">
        <f>F82+F83+F86+F89</f>
        <v/>
      </c>
      <c r="G92" s="52">
        <f>G82+G83+G86+G89</f>
        <v/>
      </c>
      <c r="H92" s="52">
        <f>H82+H83+H86+H89</f>
        <v/>
      </c>
      <c r="I92" s="52">
        <f>I82+I83+I86+I89</f>
        <v/>
      </c>
      <c r="J92" s="52">
        <f>J82+J83+J86+J89</f>
        <v/>
      </c>
      <c r="K92" s="52">
        <f>K82+K83+K86+K89</f>
        <v/>
      </c>
      <c r="L92" s="53">
        <f>L82+L83+L86+L89</f>
        <v/>
      </c>
    </row>
    <row r="93">
      <c r="A93" s="15" t="inlineStr">
        <is>
          <t xml:space="preserve">  FCF Margin %</t>
        </is>
      </c>
      <c r="B93" s="50">
        <f>B92/B61</f>
        <v/>
      </c>
      <c r="C93" s="50">
        <f>C92/C61</f>
        <v/>
      </c>
      <c r="D93" s="50">
        <f>D92/D61</f>
        <v/>
      </c>
      <c r="E93" s="50">
        <f>E92/E61</f>
        <v/>
      </c>
      <c r="F93" s="50">
        <f>F92/F61</f>
        <v/>
      </c>
      <c r="G93" s="50">
        <f>G92/G61</f>
        <v/>
      </c>
      <c r="H93" s="50">
        <f>H92/H61</f>
        <v/>
      </c>
      <c r="I93" s="50">
        <f>I92/I61</f>
        <v/>
      </c>
      <c r="J93" s="50">
        <f>J92/J61</f>
        <v/>
      </c>
      <c r="K93" s="50">
        <f>K92/K61</f>
        <v/>
      </c>
      <c r="L93" s="56">
        <f>L92/L61</f>
        <v/>
      </c>
    </row>
    <row r="95">
      <c r="A95" s="6" t="inlineStr">
        <is>
          <t>DCF VALUATION ($M)</t>
        </is>
      </c>
      <c r="B95" s="7" t="n"/>
      <c r="C95" s="7" t="n"/>
      <c r="D95" s="7" t="n"/>
      <c r="E95" s="7" t="n"/>
      <c r="F95" s="7" t="n"/>
      <c r="G95" s="7" t="n"/>
      <c r="H95" s="7" t="n"/>
      <c r="I95" s="7" t="n"/>
      <c r="J95" s="7" t="n"/>
      <c r="K95" s="7" t="n"/>
      <c r="L95" s="8" t="n"/>
    </row>
    <row r="96">
      <c r="A96" s="20" t="inlineStr"/>
      <c r="B96" s="21" t="inlineStr"/>
      <c r="C96" s="21" t="inlineStr"/>
      <c r="D96" s="21" t="inlineStr"/>
      <c r="E96" s="21" t="inlineStr"/>
      <c r="F96" s="21" t="inlineStr"/>
      <c r="G96" s="21" t="inlineStr"/>
      <c r="H96" s="21" t="inlineStr">
        <is>
          <t>FY2026E</t>
        </is>
      </c>
      <c r="I96" s="21" t="inlineStr">
        <is>
          <t>FY2027E</t>
        </is>
      </c>
      <c r="J96" s="21" t="inlineStr">
        <is>
          <t>FY2028E</t>
        </is>
      </c>
      <c r="K96" s="21" t="inlineStr">
        <is>
          <t>FY2029E</t>
        </is>
      </c>
      <c r="L96" s="22" t="inlineStr">
        <is>
          <t>FY2030E</t>
        </is>
      </c>
    </row>
    <row r="97">
      <c r="A97" s="9" t="inlineStr">
        <is>
          <t>Unlevered FCF ($M)</t>
        </is>
      </c>
      <c r="B97" s="11" t="n"/>
      <c r="C97" s="11" t="n"/>
      <c r="D97" s="11" t="n"/>
      <c r="E97" s="11" t="n"/>
      <c r="F97" s="11" t="n"/>
      <c r="G97" s="11" t="n"/>
      <c r="H97" s="52">
        <f>H92</f>
        <v/>
      </c>
      <c r="I97" s="52">
        <f>I92</f>
        <v/>
      </c>
      <c r="J97" s="52">
        <f>J92</f>
        <v/>
      </c>
      <c r="K97" s="52">
        <f>K92</f>
        <v/>
      </c>
      <c r="L97" s="53">
        <f>L92</f>
        <v/>
      </c>
    </row>
    <row r="98">
      <c r="A98" s="9" t="inlineStr">
        <is>
          <t>Discount Period</t>
        </is>
      </c>
      <c r="B98" s="11" t="n"/>
      <c r="C98" s="11" t="n"/>
      <c r="D98" s="11" t="n"/>
      <c r="E98" s="11" t="n"/>
      <c r="F98" s="11" t="n"/>
      <c r="G98" s="11" t="n"/>
      <c r="H98" s="60" t="n">
        <v>0.5</v>
      </c>
      <c r="I98" s="60" t="n">
        <v>1.5</v>
      </c>
      <c r="J98" s="60" t="n">
        <v>2.5</v>
      </c>
      <c r="K98" s="60" t="n">
        <v>3.5</v>
      </c>
      <c r="L98" s="61" t="n">
        <v>4.5</v>
      </c>
    </row>
    <row r="99">
      <c r="A99" s="9" t="inlineStr">
        <is>
          <t>Discount Factor</t>
        </is>
      </c>
      <c r="B99" s="11" t="n"/>
      <c r="C99" s="11" t="n"/>
      <c r="D99" s="11" t="n"/>
      <c r="E99" s="11" t="n"/>
      <c r="F99" s="11" t="n"/>
      <c r="G99" s="11" t="n"/>
      <c r="H99" s="62">
        <f>1/(1+$B$57)^H98</f>
        <v/>
      </c>
      <c r="I99" s="62">
        <f>1/(1+$B$57)^I98</f>
        <v/>
      </c>
      <c r="J99" s="62">
        <f>1/(1+$B$57)^J98</f>
        <v/>
      </c>
      <c r="K99" s="62">
        <f>1/(1+$B$57)^K98</f>
        <v/>
      </c>
      <c r="L99" s="63">
        <f>1/(1+$B$57)^L98</f>
        <v/>
      </c>
    </row>
    <row r="100">
      <c r="A100" s="27" t="inlineStr">
        <is>
          <t>PV of FCF ($M)</t>
        </is>
      </c>
      <c r="B100" s="11" t="n"/>
      <c r="C100" s="11" t="n"/>
      <c r="D100" s="11" t="n"/>
      <c r="E100" s="11" t="n"/>
      <c r="F100" s="11" t="n"/>
      <c r="G100" s="11" t="n"/>
      <c r="H100" s="52">
        <f>H97*H99</f>
        <v/>
      </c>
      <c r="I100" s="52">
        <f>I97*I99</f>
        <v/>
      </c>
      <c r="J100" s="52">
        <f>J97*J99</f>
        <v/>
      </c>
      <c r="K100" s="52">
        <f>K97*K99</f>
        <v/>
      </c>
      <c r="L100" s="53">
        <f>L97*L99</f>
        <v/>
      </c>
    </row>
    <row r="101">
      <c r="A101" s="38" t="n"/>
      <c r="B101" s="11" t="n"/>
      <c r="C101" s="11" t="n"/>
      <c r="D101" s="11" t="n"/>
      <c r="E101" s="11" t="n"/>
      <c r="F101" s="11" t="n"/>
      <c r="G101" s="11" t="n"/>
      <c r="H101" s="11" t="n"/>
      <c r="I101" s="11" t="n"/>
      <c r="J101" s="11" t="n"/>
      <c r="K101" s="11" t="n"/>
      <c r="L101" s="12" t="n"/>
    </row>
    <row r="102">
      <c r="A102" s="64" t="inlineStr">
        <is>
          <t>TERMINAL VALUE</t>
        </is>
      </c>
      <c r="B102" s="11" t="n"/>
      <c r="C102" s="11" t="n"/>
      <c r="D102" s="11" t="n"/>
      <c r="E102" s="11" t="n"/>
      <c r="F102" s="11" t="n"/>
      <c r="G102" s="11" t="n"/>
      <c r="H102" s="11" t="n"/>
      <c r="I102" s="11" t="n"/>
      <c r="J102" s="11" t="n"/>
      <c r="K102" s="11" t="n"/>
      <c r="L102" s="12" t="n"/>
    </row>
    <row r="103">
      <c r="A103" s="9" t="inlineStr">
        <is>
          <t>Terminal FCF ($M)</t>
        </is>
      </c>
      <c r="B103" s="11" t="n"/>
      <c r="C103" s="11" t="n"/>
      <c r="D103" s="11" t="n"/>
      <c r="E103" s="11" t="n"/>
      <c r="F103" s="11" t="n"/>
      <c r="G103" s="11" t="n"/>
      <c r="H103" s="52">
        <f>L97*(1+$B$56)</f>
        <v/>
      </c>
      <c r="I103" s="11" t="n"/>
      <c r="J103" s="11" t="n"/>
      <c r="K103" s="11" t="n"/>
      <c r="L103" s="12" t="n"/>
    </row>
    <row r="104">
      <c r="A104" s="9" t="inlineStr">
        <is>
          <t>Terminal Value ($M)</t>
        </is>
      </c>
      <c r="B104" s="11" t="n"/>
      <c r="C104" s="11" t="n"/>
      <c r="D104" s="11" t="n"/>
      <c r="E104" s="11" t="n"/>
      <c r="F104" s="11" t="n"/>
      <c r="G104" s="11" t="n"/>
      <c r="H104" s="52">
        <f>H103/($B$57-$B$56)</f>
        <v/>
      </c>
      <c r="I104" s="11" t="n"/>
      <c r="J104" s="11" t="n"/>
      <c r="K104" s="11" t="n"/>
      <c r="L104" s="12" t="n"/>
    </row>
    <row r="105">
      <c r="A105" s="30" t="inlineStr">
        <is>
          <t>PV of Terminal Value ($M)</t>
        </is>
      </c>
      <c r="B105" s="17" t="n"/>
      <c r="C105" s="17" t="n"/>
      <c r="D105" s="17" t="n"/>
      <c r="E105" s="17" t="n"/>
      <c r="F105" s="17" t="n"/>
      <c r="G105" s="17" t="n"/>
      <c r="H105" s="54">
        <f>H104/(1+$B$57)^L98</f>
        <v/>
      </c>
      <c r="I105" s="17" t="n"/>
      <c r="J105" s="17" t="n"/>
      <c r="K105" s="17" t="n"/>
      <c r="L105" s="18" t="n"/>
    </row>
    <row r="107">
      <c r="A107" s="6" t="inlineStr">
        <is>
          <t>VALUATION SUMMARY</t>
        </is>
      </c>
      <c r="B107" s="7" t="n"/>
      <c r="C107" s="7" t="n"/>
      <c r="D107" s="8" t="n"/>
    </row>
    <row r="108">
      <c r="A108" s="9" t="inlineStr">
        <is>
          <t>Sum of PV of Projected FCFs ($M)</t>
        </is>
      </c>
      <c r="B108" s="52">
        <f>SUM(H100:L100)</f>
        <v/>
      </c>
      <c r="C108" s="11" t="n"/>
      <c r="D108" s="12" t="n"/>
    </row>
    <row r="109">
      <c r="A109" s="9" t="inlineStr">
        <is>
          <t>PV of Terminal Value ($M)</t>
        </is>
      </c>
      <c r="B109" s="52">
        <f>H105</f>
        <v/>
      </c>
      <c r="C109" s="11" t="n"/>
      <c r="D109" s="12" t="n"/>
    </row>
    <row r="110">
      <c r="A110" s="27" t="inlineStr">
        <is>
          <t>Enterprise Value ($M)</t>
        </is>
      </c>
      <c r="B110" s="52">
        <f>B108+B109</f>
        <v/>
      </c>
      <c r="C110" s="11" t="n"/>
      <c r="D110" s="12" t="n"/>
    </row>
    <row r="111">
      <c r="A111" s="9" t="inlineStr">
        <is>
          <t>(-) Net Debt ($M)</t>
        </is>
      </c>
      <c r="B111" s="43">
        <f>B11</f>
        <v/>
      </c>
      <c r="C111" s="11" t="n"/>
      <c r="D111" s="12" t="n"/>
    </row>
    <row r="112">
      <c r="A112" s="27" t="inlineStr">
        <is>
          <t>Equity Value ($M)</t>
        </is>
      </c>
      <c r="B112" s="52">
        <f>B110-B111</f>
        <v/>
      </c>
      <c r="C112" s="11" t="n"/>
      <c r="D112" s="12" t="n"/>
    </row>
    <row r="113">
      <c r="A113" s="38" t="n"/>
      <c r="B113" s="11" t="n"/>
      <c r="C113" s="11" t="n"/>
      <c r="D113" s="12" t="n"/>
    </row>
    <row r="114">
      <c r="A114" s="9" t="inlineStr">
        <is>
          <t>Diluted Shares Outstanding (M)</t>
        </is>
      </c>
      <c r="B114" s="13">
        <f>B9</f>
        <v/>
      </c>
      <c r="C114" s="11" t="n"/>
      <c r="D114" s="12" t="n"/>
    </row>
    <row r="115">
      <c r="A115" s="65" t="inlineStr">
        <is>
          <t>IMPLIED PRICE PER SHARE</t>
        </is>
      </c>
      <c r="B115" s="66">
        <f>B112/B114</f>
        <v/>
      </c>
      <c r="C115" s="11" t="n"/>
      <c r="D115" s="12" t="n"/>
    </row>
    <row r="116">
      <c r="A116" s="9" t="inlineStr">
        <is>
          <t>Current Stock Price</t>
        </is>
      </c>
      <c r="B116" s="42">
        <f>B8</f>
        <v/>
      </c>
      <c r="C116" s="11" t="n"/>
      <c r="D116" s="12" t="n"/>
    </row>
    <row r="117">
      <c r="A117" s="27" t="inlineStr">
        <is>
          <t>Implied Upside / (Downside)</t>
        </is>
      </c>
      <c r="B117" s="48">
        <f>B115/B116-1</f>
        <v/>
      </c>
      <c r="C117" s="11" t="n"/>
      <c r="D117" s="12" t="n"/>
    </row>
    <row r="118">
      <c r="A118" s="38" t="n"/>
      <c r="B118" s="11" t="n"/>
      <c r="C118" s="11" t="n"/>
      <c r="D118" s="12" t="n"/>
    </row>
    <row r="119">
      <c r="A119" s="15" t="inlineStr">
        <is>
          <t>Terminal Value as % of EV</t>
        </is>
      </c>
      <c r="B119" s="50">
        <f>B109/B110</f>
        <v/>
      </c>
      <c r="C119" s="17" t="n"/>
      <c r="D119" s="18" t="n"/>
    </row>
    <row r="121">
      <c r="A121" s="6" t="inlineStr">
        <is>
          <t>SENSITIVITY: IMPLIED SHARE PRICE ($)</t>
        </is>
      </c>
      <c r="B121" s="7" t="n"/>
      <c r="C121" s="7" t="n"/>
      <c r="D121" s="7" t="n"/>
      <c r="E121" s="7" t="n"/>
      <c r="F121" s="8" t="n"/>
      <c r="G121" s="19" t="n"/>
    </row>
    <row r="122">
      <c r="A122" s="20" t="inlineStr">
        <is>
          <t>WACC \ Terminal Growth</t>
        </is>
      </c>
      <c r="B122" s="67" t="n">
        <v>0.02</v>
      </c>
      <c r="C122" s="67" t="n">
        <v>0.025</v>
      </c>
      <c r="D122" s="67" t="n">
        <v>0.03</v>
      </c>
      <c r="E122" s="67" t="n">
        <v>0.035</v>
      </c>
      <c r="F122" s="68" t="n">
        <v>0.04</v>
      </c>
    </row>
    <row r="123">
      <c r="A123" s="69" t="n">
        <v>0.08</v>
      </c>
      <c r="B123" s="70">
        <f>(H92/(1+$A$123)^0.5+I92/(1+$A$123)^1.5+J92/(1+$A$123)^2.5+K92/(1+$A$123)^3.5+L92/(1+$A$123)^4.5+(L92*(1+B$122)/($A$123-B$122))/(1+$A$123)^4.5-$B$11)/$B$9</f>
        <v/>
      </c>
      <c r="C123" s="70">
        <f>(H92/(1+$A$123)^0.5+I92/(1+$A$123)^1.5+J92/(1+$A$123)^2.5+K92/(1+$A$123)^3.5+L92/(1+$A$123)^4.5+(L92*(1+C$122)/($A$123-C$122))/(1+$A$123)^4.5-$B$11)/$B$9</f>
        <v/>
      </c>
      <c r="D123" s="70">
        <f>(H92/(1+$A$123)^0.5+I92/(1+$A$123)^1.5+J92/(1+$A$123)^2.5+K92/(1+$A$123)^3.5+L92/(1+$A$123)^4.5+(L92*(1+D$122)/($A$123-D$122))/(1+$A$123)^4.5-$B$11)/$B$9</f>
        <v/>
      </c>
      <c r="E123" s="70">
        <f>(H92/(1+$A$123)^0.5+I92/(1+$A$123)^1.5+J92/(1+$A$123)^2.5+K92/(1+$A$123)^3.5+L92/(1+$A$123)^4.5+(L92*(1+E$122)/($A$123-E$122))/(1+$A$123)^4.5-$B$11)/$B$9</f>
        <v/>
      </c>
      <c r="F123" s="71">
        <f>(H92/(1+$A$123)^0.5+I92/(1+$A$123)^1.5+J92/(1+$A$123)^2.5+K92/(1+$A$123)^3.5+L92/(1+$A$123)^4.5+(L92*(1+F$122)/($A$123-F$122))/(1+$A$123)^4.5-$B$11)/$B$9</f>
        <v/>
      </c>
    </row>
    <row r="124">
      <c r="A124" s="69" t="n">
        <v>0.08500000000000001</v>
      </c>
      <c r="B124" s="70">
        <f>(H92/(1+$A$124)^0.5+I92/(1+$A$124)^1.5+J92/(1+$A$124)^2.5+K92/(1+$A$124)^3.5+L92/(1+$A$124)^4.5+(L92*(1+B$122)/($A$124-B$122))/(1+$A$124)^4.5-$B$11)/$B$9</f>
        <v/>
      </c>
      <c r="C124" s="70">
        <f>(H92/(1+$A$124)^0.5+I92/(1+$A$124)^1.5+J92/(1+$A$124)^2.5+K92/(1+$A$124)^3.5+L92/(1+$A$124)^4.5+(L92*(1+C$122)/($A$124-C$122))/(1+$A$124)^4.5-$B$11)/$B$9</f>
        <v/>
      </c>
      <c r="D124" s="70">
        <f>(H92/(1+$A$124)^0.5+I92/(1+$A$124)^1.5+J92/(1+$A$124)^2.5+K92/(1+$A$124)^3.5+L92/(1+$A$124)^4.5+(L92*(1+D$122)/($A$124-D$122))/(1+$A$124)^4.5-$B$11)/$B$9</f>
        <v/>
      </c>
      <c r="E124" s="70">
        <f>(H92/(1+$A$124)^0.5+I92/(1+$A$124)^1.5+J92/(1+$A$124)^2.5+K92/(1+$A$124)^3.5+L92/(1+$A$124)^4.5+(L92*(1+E$122)/($A$124-E$122))/(1+$A$124)^4.5-$B$11)/$B$9</f>
        <v/>
      </c>
      <c r="F124" s="71">
        <f>(H92/(1+$A$124)^0.5+I92/(1+$A$124)^1.5+J92/(1+$A$124)^2.5+K92/(1+$A$124)^3.5+L92/(1+$A$124)^4.5+(L92*(1+F$122)/($A$124-F$122))/(1+$A$124)^4.5-$B$11)/$B$9</f>
        <v/>
      </c>
    </row>
    <row r="125">
      <c r="A125" s="69" t="n">
        <v>0.09</v>
      </c>
      <c r="B125" s="70">
        <f>(H92/(1+$A$125)^0.5+I92/(1+$A$125)^1.5+J92/(1+$A$125)^2.5+K92/(1+$A$125)^3.5+L92/(1+$A$125)^4.5+(L92*(1+B$122)/($A$125-B$122))/(1+$A$125)^4.5-$B$11)/$B$9</f>
        <v/>
      </c>
      <c r="C125" s="70">
        <f>(H92/(1+$A$125)^0.5+I92/(1+$A$125)^1.5+J92/(1+$A$125)^2.5+K92/(1+$A$125)^3.5+L92/(1+$A$125)^4.5+(L92*(1+C$122)/($A$125-C$122))/(1+$A$125)^4.5-$B$11)/$B$9</f>
        <v/>
      </c>
      <c r="D125" s="70">
        <f>(H92/(1+$A$125)^0.5+I92/(1+$A$125)^1.5+J92/(1+$A$125)^2.5+K92/(1+$A$125)^3.5+L92/(1+$A$125)^4.5+(L92*(1+D$122)/($A$125-D$122))/(1+$A$125)^4.5-$B$11)/$B$9</f>
        <v/>
      </c>
      <c r="E125" s="70">
        <f>(H92/(1+$A$125)^0.5+I92/(1+$A$125)^1.5+J92/(1+$A$125)^2.5+K92/(1+$A$125)^3.5+L92/(1+$A$125)^4.5+(L92*(1+E$122)/($A$125-E$122))/(1+$A$125)^4.5-$B$11)/$B$9</f>
        <v/>
      </c>
      <c r="F125" s="71">
        <f>(H92/(1+$A$125)^0.5+I92/(1+$A$125)^1.5+J92/(1+$A$125)^2.5+K92/(1+$A$125)^3.5+L92/(1+$A$125)^4.5+(L92*(1+F$122)/($A$125-F$122))/(1+$A$125)^4.5-$B$11)/$B$9</f>
        <v/>
      </c>
    </row>
    <row r="126">
      <c r="A126" s="69" t="n">
        <v>0.095</v>
      </c>
      <c r="B126" s="70">
        <f>(H92/(1+$A$126)^0.5+I92/(1+$A$126)^1.5+J92/(1+$A$126)^2.5+K92/(1+$A$126)^3.5+L92/(1+$A$126)^4.5+(L92*(1+B$122)/($A$126-B$122))/(1+$A$126)^4.5-$B$11)/$B$9</f>
        <v/>
      </c>
      <c r="C126" s="70">
        <f>(H92/(1+$A$126)^0.5+I92/(1+$A$126)^1.5+J92/(1+$A$126)^2.5+K92/(1+$A$126)^3.5+L92/(1+$A$126)^4.5+(L92*(1+C$122)/($A$126-C$122))/(1+$A$126)^4.5-$B$11)/$B$9</f>
        <v/>
      </c>
      <c r="D126" s="70">
        <f>(H92/(1+$A$126)^0.5+I92/(1+$A$126)^1.5+J92/(1+$A$126)^2.5+K92/(1+$A$126)^3.5+L92/(1+$A$126)^4.5+(L92*(1+D$122)/($A$126-D$122))/(1+$A$126)^4.5-$B$11)/$B$9</f>
        <v/>
      </c>
      <c r="E126" s="70">
        <f>(H92/(1+$A$126)^0.5+I92/(1+$A$126)^1.5+J92/(1+$A$126)^2.5+K92/(1+$A$126)^3.5+L92/(1+$A$126)^4.5+(L92*(1+E$122)/($A$126-E$122))/(1+$A$126)^4.5-$B$11)/$B$9</f>
        <v/>
      </c>
      <c r="F126" s="71">
        <f>(H92/(1+$A$126)^0.5+I92/(1+$A$126)^1.5+J92/(1+$A$126)^2.5+K92/(1+$A$126)^3.5+L92/(1+$A$126)^4.5+(L92*(1+F$122)/($A$126-F$122))/(1+$A$126)^4.5-$B$11)/$B$9</f>
        <v/>
      </c>
    </row>
    <row r="127">
      <c r="A127" s="69" t="n">
        <v>0.1</v>
      </c>
      <c r="B127" s="70">
        <f>(H92/(1+$A$127)^0.5+I92/(1+$A$127)^1.5+J92/(1+$A$127)^2.5+K92/(1+$A$127)^3.5+L92/(1+$A$127)^4.5+(L92*(1+B$122)/($A$127-B$122))/(1+$A$127)^4.5-$B$11)/$B$9</f>
        <v/>
      </c>
      <c r="C127" s="70">
        <f>(H92/(1+$A$127)^0.5+I92/(1+$A$127)^1.5+J92/(1+$A$127)^2.5+K92/(1+$A$127)^3.5+L92/(1+$A$127)^4.5+(L92*(1+C$122)/($A$127-C$122))/(1+$A$127)^4.5-$B$11)/$B$9</f>
        <v/>
      </c>
      <c r="D127" s="70">
        <f>(H92/(1+$A$127)^0.5+I92/(1+$A$127)^1.5+J92/(1+$A$127)^2.5+K92/(1+$A$127)^3.5+L92/(1+$A$127)^4.5+(L92*(1+D$122)/($A$127-D$122))/(1+$A$127)^4.5-$B$11)/$B$9</f>
        <v/>
      </c>
      <c r="E127" s="70">
        <f>(H92/(1+$A$127)^0.5+I92/(1+$A$127)^1.5+J92/(1+$A$127)^2.5+K92/(1+$A$127)^3.5+L92/(1+$A$127)^4.5+(L92*(1+E$122)/($A$127-E$122))/(1+$A$127)^4.5-$B$11)/$B$9</f>
        <v/>
      </c>
      <c r="F127" s="71">
        <f>(H92/(1+$A$127)^0.5+I92/(1+$A$127)^1.5+J92/(1+$A$127)^2.5+K92/(1+$A$127)^3.5+L92/(1+$A$127)^4.5+(L92*(1+F$122)/($A$127-F$122))/(1+$A$127)^4.5-$B$11)/$B$9</f>
        <v/>
      </c>
    </row>
    <row r="128">
      <c r="A128" s="69" t="n">
        <v>0.105</v>
      </c>
      <c r="B128" s="70">
        <f>(H92/(1+$A$128)^0.5+I92/(1+$A$128)^1.5+J92/(1+$A$128)^2.5+K92/(1+$A$128)^3.5+L92/(1+$A$128)^4.5+(L92*(1+B$122)/($A$128-B$122))/(1+$A$128)^4.5-$B$11)/$B$9</f>
        <v/>
      </c>
      <c r="C128" s="70">
        <f>(H92/(1+$A$128)^0.5+I92/(1+$A$128)^1.5+J92/(1+$A$128)^2.5+K92/(1+$A$128)^3.5+L92/(1+$A$128)^4.5+(L92*(1+C$122)/($A$128-C$122))/(1+$A$128)^4.5-$B$11)/$B$9</f>
        <v/>
      </c>
      <c r="D128" s="70">
        <f>(H92/(1+$A$128)^0.5+I92/(1+$A$128)^1.5+J92/(1+$A$128)^2.5+K92/(1+$A$128)^3.5+L92/(1+$A$128)^4.5+(L92*(1+D$122)/($A$128-D$122))/(1+$A$128)^4.5-$B$11)/$B$9</f>
        <v/>
      </c>
      <c r="E128" s="70">
        <f>(H92/(1+$A$128)^0.5+I92/(1+$A$128)^1.5+J92/(1+$A$128)^2.5+K92/(1+$A$128)^3.5+L92/(1+$A$128)^4.5+(L92*(1+E$122)/($A$128-E$122))/(1+$A$128)^4.5-$B$11)/$B$9</f>
        <v/>
      </c>
      <c r="F128" s="71">
        <f>(H92/(1+$A$128)^0.5+I92/(1+$A$128)^1.5+J92/(1+$A$128)^2.5+K92/(1+$A$128)^3.5+L92/(1+$A$128)^4.5+(L92*(1+F$122)/($A$128-F$122))/(1+$A$128)^4.5-$B$11)/$B$9</f>
        <v/>
      </c>
    </row>
    <row r="129">
      <c r="A129" s="72" t="n">
        <v>0.11</v>
      </c>
      <c r="B129" s="73">
        <f>(H92/(1+$A$129)^0.5+I92/(1+$A$129)^1.5+J92/(1+$A$129)^2.5+K92/(1+$A$129)^3.5+L92/(1+$A$129)^4.5+(L92*(1+B$122)/($A$129-B$122))/(1+$A$129)^4.5-$B$11)/$B$9</f>
        <v/>
      </c>
      <c r="C129" s="73">
        <f>(H92/(1+$A$129)^0.5+I92/(1+$A$129)^1.5+J92/(1+$A$129)^2.5+K92/(1+$A$129)^3.5+L92/(1+$A$129)^4.5+(L92*(1+C$122)/($A$129-C$122))/(1+$A$129)^4.5-$B$11)/$B$9</f>
        <v/>
      </c>
      <c r="D129" s="73">
        <f>(H92/(1+$A$129)^0.5+I92/(1+$A$129)^1.5+J92/(1+$A$129)^2.5+K92/(1+$A$129)^3.5+L92/(1+$A$129)^4.5+(L92*(1+D$122)/($A$129-D$122))/(1+$A$129)^4.5-$B$11)/$B$9</f>
        <v/>
      </c>
      <c r="E129" s="73">
        <f>(H92/(1+$A$129)^0.5+I92/(1+$A$129)^1.5+J92/(1+$A$129)^2.5+K92/(1+$A$129)^3.5+L92/(1+$A$129)^4.5+(L92*(1+E$122)/($A$129-E$122))/(1+$A$129)^4.5-$B$11)/$B$9</f>
        <v/>
      </c>
      <c r="F129" s="74">
        <f>(H92/(1+$A$129)^0.5+I92/(1+$A$129)^1.5+J92/(1+$A$129)^2.5+K92/(1+$A$129)^3.5+L92/(1+$A$129)^4.5+(L92*(1+F$122)/($A$129-F$122))/(1+$A$129)^4.5-$B$11)/$B$9</f>
        <v/>
      </c>
    </row>
    <row r="132">
      <c r="A132" s="6" t="inlineStr">
        <is>
          <t>SENSITIVITY: Rev Growth (FY2026) vs EBIT Margin (FY2026)</t>
        </is>
      </c>
      <c r="B132" s="7" t="n"/>
      <c r="C132" s="7" t="n"/>
      <c r="D132" s="7" t="n"/>
      <c r="E132" s="7" t="n"/>
      <c r="F132" s="8" t="n"/>
      <c r="G132" s="19" t="n"/>
    </row>
    <row r="133">
      <c r="A133" s="20" t="inlineStr">
        <is>
          <t>Rev Growth \ EBIT Margin</t>
        </is>
      </c>
      <c r="B133" s="67" t="n">
        <v>0.09</v>
      </c>
      <c r="C133" s="67" t="n">
        <v>0.1</v>
      </c>
      <c r="D133" s="67" t="n">
        <v>0.11</v>
      </c>
      <c r="E133" s="67" t="n">
        <v>0.12</v>
      </c>
      <c r="F133" s="68" t="n">
        <v>0.13</v>
      </c>
    </row>
    <row r="134">
      <c r="A134" s="69" t="n">
        <v>0.08</v>
      </c>
      <c r="B134" s="70">
        <f>((($G$61*(1+$A$134))*B$133*(1-$B$52)+($G$61*(1+$A$134))*$B$53-($G$61*(1+$A$134))*$B$54-(($G$61*(1+$A$134))-$G$61)*$B$55)/(1+$B$57)^0.5+I92/(1+$B$57)^1.5+J92/(1+$B$57)^2.5+K92/(1+$B$57)^3.5+L92/(1+$B$57)^4.5+(L92*(1+$B$56)/($B$57-$B$56))/(1+$B$57)^4.5-$B$11)/$B$9</f>
        <v/>
      </c>
      <c r="C134" s="70">
        <f>((($G$61*(1+$A$134))*C$133*(1-$B$52)+($G$61*(1+$A$134))*$B$53-($G$61*(1+$A$134))*$B$54-(($G$61*(1+$A$134))-$G$61)*$B$55)/(1+$B$57)^0.5+I92/(1+$B$57)^1.5+J92/(1+$B$57)^2.5+K92/(1+$B$57)^3.5+L92/(1+$B$57)^4.5+(L92*(1+$B$56)/($B$57-$B$56))/(1+$B$57)^4.5-$B$11)/$B$9</f>
        <v/>
      </c>
      <c r="D134" s="70">
        <f>((($G$61*(1+$A$134))*D$133*(1-$B$52)+($G$61*(1+$A$134))*$B$53-($G$61*(1+$A$134))*$B$54-(($G$61*(1+$A$134))-$G$61)*$B$55)/(1+$B$57)^0.5+I92/(1+$B$57)^1.5+J92/(1+$B$57)^2.5+K92/(1+$B$57)^3.5+L92/(1+$B$57)^4.5+(L92*(1+$B$56)/($B$57-$B$56))/(1+$B$57)^4.5-$B$11)/$B$9</f>
        <v/>
      </c>
      <c r="E134" s="70">
        <f>((($G$61*(1+$A$134))*E$133*(1-$B$52)+($G$61*(1+$A$134))*$B$53-($G$61*(1+$A$134))*$B$54-(($G$61*(1+$A$134))-$G$61)*$B$55)/(1+$B$57)^0.5+I92/(1+$B$57)^1.5+J92/(1+$B$57)^2.5+K92/(1+$B$57)^3.5+L92/(1+$B$57)^4.5+(L92*(1+$B$56)/($B$57-$B$56))/(1+$B$57)^4.5-$B$11)/$B$9</f>
        <v/>
      </c>
      <c r="F134" s="71">
        <f>((($G$61*(1+$A$134))*F$133*(1-$B$52)+($G$61*(1+$A$134))*$B$53-($G$61*(1+$A$134))*$B$54-(($G$61*(1+$A$134))-$G$61)*$B$55)/(1+$B$57)^0.5+I92/(1+$B$57)^1.5+J92/(1+$B$57)^2.5+K92/(1+$B$57)^3.5+L92/(1+$B$57)^4.5+(L92*(1+$B$56)/($B$57-$B$56))/(1+$B$57)^4.5-$B$11)/$B$9</f>
        <v/>
      </c>
    </row>
    <row r="135">
      <c r="A135" s="69" t="n">
        <v>0.1</v>
      </c>
      <c r="B135" s="70">
        <f>((($G$61*(1+$A$135))*B$133*(1-$B$52)+($G$61*(1+$A$135))*$B$53-($G$61*(1+$A$135))*$B$54-(($G$61*(1+$A$135))-$G$61)*$B$55)/(1+$B$57)^0.5+I92/(1+$B$57)^1.5+J92/(1+$B$57)^2.5+K92/(1+$B$57)^3.5+L92/(1+$B$57)^4.5+(L92*(1+$B$56)/($B$57-$B$56))/(1+$B$57)^4.5-$B$11)/$B$9</f>
        <v/>
      </c>
      <c r="C135" s="70">
        <f>((($G$61*(1+$A$135))*C$133*(1-$B$52)+($G$61*(1+$A$135))*$B$53-($G$61*(1+$A$135))*$B$54-(($G$61*(1+$A$135))-$G$61)*$B$55)/(1+$B$57)^0.5+I92/(1+$B$57)^1.5+J92/(1+$B$57)^2.5+K92/(1+$B$57)^3.5+L92/(1+$B$57)^4.5+(L92*(1+$B$56)/($B$57-$B$56))/(1+$B$57)^4.5-$B$11)/$B$9</f>
        <v/>
      </c>
      <c r="D135" s="70">
        <f>((($G$61*(1+$A$135))*D$133*(1-$B$52)+($G$61*(1+$A$135))*$B$53-($G$61*(1+$A$135))*$B$54-(($G$61*(1+$A$135))-$G$61)*$B$55)/(1+$B$57)^0.5+I92/(1+$B$57)^1.5+J92/(1+$B$57)^2.5+K92/(1+$B$57)^3.5+L92/(1+$B$57)^4.5+(L92*(1+$B$56)/($B$57-$B$56))/(1+$B$57)^4.5-$B$11)/$B$9</f>
        <v/>
      </c>
      <c r="E135" s="70">
        <f>((($G$61*(1+$A$135))*E$133*(1-$B$52)+($G$61*(1+$A$135))*$B$53-($G$61*(1+$A$135))*$B$54-(($G$61*(1+$A$135))-$G$61)*$B$55)/(1+$B$57)^0.5+I92/(1+$B$57)^1.5+J92/(1+$B$57)^2.5+K92/(1+$B$57)^3.5+L92/(1+$B$57)^4.5+(L92*(1+$B$56)/($B$57-$B$56))/(1+$B$57)^4.5-$B$11)/$B$9</f>
        <v/>
      </c>
      <c r="F135" s="71">
        <f>((($G$61*(1+$A$135))*F$133*(1-$B$52)+($G$61*(1+$A$135))*$B$53-($G$61*(1+$A$135))*$B$54-(($G$61*(1+$A$135))-$G$61)*$B$55)/(1+$B$57)^0.5+I92/(1+$B$57)^1.5+J92/(1+$B$57)^2.5+K92/(1+$B$57)^3.5+L92/(1+$B$57)^4.5+(L92*(1+$B$56)/($B$57-$B$56))/(1+$B$57)^4.5-$B$11)/$B$9</f>
        <v/>
      </c>
    </row>
    <row r="136">
      <c r="A136" s="69" t="n">
        <v>0.12</v>
      </c>
      <c r="B136" s="70">
        <f>((($G$61*(1+$A$136))*B$133*(1-$B$52)+($G$61*(1+$A$136))*$B$53-($G$61*(1+$A$136))*$B$54-(($G$61*(1+$A$136))-$G$61)*$B$55)/(1+$B$57)^0.5+I92/(1+$B$57)^1.5+J92/(1+$B$57)^2.5+K92/(1+$B$57)^3.5+L92/(1+$B$57)^4.5+(L92*(1+$B$56)/($B$57-$B$56))/(1+$B$57)^4.5-$B$11)/$B$9</f>
        <v/>
      </c>
      <c r="C136" s="70">
        <f>((($G$61*(1+$A$136))*C$133*(1-$B$52)+($G$61*(1+$A$136))*$B$53-($G$61*(1+$A$136))*$B$54-(($G$61*(1+$A$136))-$G$61)*$B$55)/(1+$B$57)^0.5+I92/(1+$B$57)^1.5+J92/(1+$B$57)^2.5+K92/(1+$B$57)^3.5+L92/(1+$B$57)^4.5+(L92*(1+$B$56)/($B$57-$B$56))/(1+$B$57)^4.5-$B$11)/$B$9</f>
        <v/>
      </c>
      <c r="D136" s="70">
        <f>((($G$61*(1+$A$136))*D$133*(1-$B$52)+($G$61*(1+$A$136))*$B$53-($G$61*(1+$A$136))*$B$54-(($G$61*(1+$A$136))-$G$61)*$B$55)/(1+$B$57)^0.5+I92/(1+$B$57)^1.5+J92/(1+$B$57)^2.5+K92/(1+$B$57)^3.5+L92/(1+$B$57)^4.5+(L92*(1+$B$56)/($B$57-$B$56))/(1+$B$57)^4.5-$B$11)/$B$9</f>
        <v/>
      </c>
      <c r="E136" s="70">
        <f>((($G$61*(1+$A$136))*E$133*(1-$B$52)+($G$61*(1+$A$136))*$B$53-($G$61*(1+$A$136))*$B$54-(($G$61*(1+$A$136))-$G$61)*$B$55)/(1+$B$57)^0.5+I92/(1+$B$57)^1.5+J92/(1+$B$57)^2.5+K92/(1+$B$57)^3.5+L92/(1+$B$57)^4.5+(L92*(1+$B$56)/($B$57-$B$56))/(1+$B$57)^4.5-$B$11)/$B$9</f>
        <v/>
      </c>
      <c r="F136" s="71">
        <f>((($G$61*(1+$A$136))*F$133*(1-$B$52)+($G$61*(1+$A$136))*$B$53-($G$61*(1+$A$136))*$B$54-(($G$61*(1+$A$136))-$G$61)*$B$55)/(1+$B$57)^0.5+I92/(1+$B$57)^1.5+J92/(1+$B$57)^2.5+K92/(1+$B$57)^3.5+L92/(1+$B$57)^4.5+(L92*(1+$B$56)/($B$57-$B$56))/(1+$B$57)^4.5-$B$11)/$B$9</f>
        <v/>
      </c>
    </row>
    <row r="137">
      <c r="A137" s="69" t="n">
        <v>0.14</v>
      </c>
      <c r="B137" s="70">
        <f>((($G$61*(1+$A$137))*B$133*(1-$B$52)+($G$61*(1+$A$137))*$B$53-($G$61*(1+$A$137))*$B$54-(($G$61*(1+$A$137))-$G$61)*$B$55)/(1+$B$57)^0.5+I92/(1+$B$57)^1.5+J92/(1+$B$57)^2.5+K92/(1+$B$57)^3.5+L92/(1+$B$57)^4.5+(L92*(1+$B$56)/($B$57-$B$56))/(1+$B$57)^4.5-$B$11)/$B$9</f>
        <v/>
      </c>
      <c r="C137" s="70">
        <f>((($G$61*(1+$A$137))*C$133*(1-$B$52)+($G$61*(1+$A$137))*$B$53-($G$61*(1+$A$137))*$B$54-(($G$61*(1+$A$137))-$G$61)*$B$55)/(1+$B$57)^0.5+I92/(1+$B$57)^1.5+J92/(1+$B$57)^2.5+K92/(1+$B$57)^3.5+L92/(1+$B$57)^4.5+(L92*(1+$B$56)/($B$57-$B$56))/(1+$B$57)^4.5-$B$11)/$B$9</f>
        <v/>
      </c>
      <c r="D137" s="70">
        <f>((($G$61*(1+$A$137))*D$133*(1-$B$52)+($G$61*(1+$A$137))*$B$53-($G$61*(1+$A$137))*$B$54-(($G$61*(1+$A$137))-$G$61)*$B$55)/(1+$B$57)^0.5+I92/(1+$B$57)^1.5+J92/(1+$B$57)^2.5+K92/(1+$B$57)^3.5+L92/(1+$B$57)^4.5+(L92*(1+$B$56)/($B$57-$B$56))/(1+$B$57)^4.5-$B$11)/$B$9</f>
        <v/>
      </c>
      <c r="E137" s="70">
        <f>((($G$61*(1+$A$137))*E$133*(1-$B$52)+($G$61*(1+$A$137))*$B$53-($G$61*(1+$A$137))*$B$54-(($G$61*(1+$A$137))-$G$61)*$B$55)/(1+$B$57)^0.5+I92/(1+$B$57)^1.5+J92/(1+$B$57)^2.5+K92/(1+$B$57)^3.5+L92/(1+$B$57)^4.5+(L92*(1+$B$56)/($B$57-$B$56))/(1+$B$57)^4.5-$B$11)/$B$9</f>
        <v/>
      </c>
      <c r="F137" s="71">
        <f>((($G$61*(1+$A$137))*F$133*(1-$B$52)+($G$61*(1+$A$137))*$B$53-($G$61*(1+$A$137))*$B$54-(($G$61*(1+$A$137))-$G$61)*$B$55)/(1+$B$57)^0.5+I92/(1+$B$57)^1.5+J92/(1+$B$57)^2.5+K92/(1+$B$57)^3.5+L92/(1+$B$57)^4.5+(L92*(1+$B$56)/($B$57-$B$56))/(1+$B$57)^4.5-$B$11)/$B$9</f>
        <v/>
      </c>
    </row>
    <row r="138">
      <c r="A138" s="72" t="n">
        <v>0.16</v>
      </c>
      <c r="B138" s="73">
        <f>((($G$61*(1+$A$138))*B$133*(1-$B$52)+($G$61*(1+$A$138))*$B$53-($G$61*(1+$A$138))*$B$54-(($G$61*(1+$A$138))-$G$61)*$B$55)/(1+$B$57)^0.5+I92/(1+$B$57)^1.5+J92/(1+$B$57)^2.5+K92/(1+$B$57)^3.5+L92/(1+$B$57)^4.5+(L92*(1+$B$56)/($B$57-$B$56))/(1+$B$57)^4.5-$B$11)/$B$9</f>
        <v/>
      </c>
      <c r="C138" s="73">
        <f>((($G$61*(1+$A$138))*C$133*(1-$B$52)+($G$61*(1+$A$138))*$B$53-($G$61*(1+$A$138))*$B$54-(($G$61*(1+$A$138))-$G$61)*$B$55)/(1+$B$57)^0.5+I92/(1+$B$57)^1.5+J92/(1+$B$57)^2.5+K92/(1+$B$57)^3.5+L92/(1+$B$57)^4.5+(L92*(1+$B$56)/($B$57-$B$56))/(1+$B$57)^4.5-$B$11)/$B$9</f>
        <v/>
      </c>
      <c r="D138" s="73">
        <f>((($G$61*(1+$A$138))*D$133*(1-$B$52)+($G$61*(1+$A$138))*$B$53-($G$61*(1+$A$138))*$B$54-(($G$61*(1+$A$138))-$G$61)*$B$55)/(1+$B$57)^0.5+I92/(1+$B$57)^1.5+J92/(1+$B$57)^2.5+K92/(1+$B$57)^3.5+L92/(1+$B$57)^4.5+(L92*(1+$B$56)/($B$57-$B$56))/(1+$B$57)^4.5-$B$11)/$B$9</f>
        <v/>
      </c>
      <c r="E138" s="73">
        <f>((($G$61*(1+$A$138))*E$133*(1-$B$52)+($G$61*(1+$A$138))*$B$53-($G$61*(1+$A$138))*$B$54-(($G$61*(1+$A$138))-$G$61)*$B$55)/(1+$B$57)^0.5+I92/(1+$B$57)^1.5+J92/(1+$B$57)^2.5+K92/(1+$B$57)^3.5+L92/(1+$B$57)^4.5+(L92*(1+$B$56)/($B$57-$B$56))/(1+$B$57)^4.5-$B$11)/$B$9</f>
        <v/>
      </c>
      <c r="F138" s="74">
        <f>((($G$61*(1+$A$138))*F$133*(1-$B$52)+($G$61*(1+$A$138))*$B$53-($G$61*(1+$A$138))*$B$54-(($G$61*(1+$A$138))-$G$61)*$B$55)/(1+$B$57)^0.5+I92/(1+$B$57)^1.5+J92/(1+$B$57)^2.5+K92/(1+$B$57)^3.5+L92/(1+$B$57)^4.5+(L92*(1+$B$56)/($B$57-$B$56))/(1+$B$57)^4.5-$B$11)/$B$9</f>
        <v/>
      </c>
    </row>
    <row r="141">
      <c r="A141" s="6" t="inlineStr">
        <is>
          <t>SENSITIVITY: Beta vs Risk-Free Rate</t>
        </is>
      </c>
      <c r="B141" s="7" t="n"/>
      <c r="C141" s="7" t="n"/>
      <c r="D141" s="7" t="n"/>
      <c r="E141" s="7" t="n"/>
      <c r="F141" s="8" t="n"/>
      <c r="G141" s="19" t="n"/>
    </row>
    <row r="142">
      <c r="A142" s="20" t="inlineStr">
        <is>
          <t>Beta \ Risk-Free Rate</t>
        </is>
      </c>
      <c r="B142" s="67" t="n">
        <v>0.035</v>
      </c>
      <c r="C142" s="67" t="n">
        <v>0.04</v>
      </c>
      <c r="D142" s="67" t="n">
        <v>0.045</v>
      </c>
      <c r="E142" s="67" t="n">
        <v>0.05</v>
      </c>
      <c r="F142" s="68" t="n">
        <v>0.055</v>
      </c>
    </row>
    <row r="143">
      <c r="A143" s="75" t="n">
        <v>1</v>
      </c>
      <c r="B143" s="70">
        <f>(H92/(1+((B$142+$A$143*WACC!$B$6)*WACC!$B$28+WACC!$B$14*WACC!$B$29))^0.5+I92/(1+((B$142+$A$143*WACC!$B$6)*WACC!$B$28+WACC!$B$14*WACC!$B$29))^1.5+J92/(1+((B$142+$A$143*WACC!$B$6)*WACC!$B$28+WACC!$B$14*WACC!$B$29))^2.5+K92/(1+((B$142+$A$143*WACC!$B$6)*WACC!$B$28+WACC!$B$14*WACC!$B$29))^3.5+L92/(1+((B$142+$A$143*WACC!$B$6)*WACC!$B$28+WACC!$B$14*WACC!$B$29))^4.5+(L92*(1+$B$56)/(((B$142+$A$143*WACC!$B$6)*WACC!$B$28+WACC!$B$14*WACC!$B$29)-$B$56))/(1+((B$142+$A$143*WACC!$B$6)*WACC!$B$28+WACC!$B$14*WACC!$B$29))^4.5-$B$11)/$B$9</f>
        <v/>
      </c>
      <c r="C143" s="70">
        <f>(H92/(1+((C$142+$A$143*WACC!$B$6)*WACC!$B$28+WACC!$B$14*WACC!$B$29))^0.5+I92/(1+((C$142+$A$143*WACC!$B$6)*WACC!$B$28+WACC!$B$14*WACC!$B$29))^1.5+J92/(1+((C$142+$A$143*WACC!$B$6)*WACC!$B$28+WACC!$B$14*WACC!$B$29))^2.5+K92/(1+((C$142+$A$143*WACC!$B$6)*WACC!$B$28+WACC!$B$14*WACC!$B$29))^3.5+L92/(1+((C$142+$A$143*WACC!$B$6)*WACC!$B$28+WACC!$B$14*WACC!$B$29))^4.5+(L92*(1+$B$56)/(((C$142+$A$143*WACC!$B$6)*WACC!$B$28+WACC!$B$14*WACC!$B$29)-$B$56))/(1+((C$142+$A$143*WACC!$B$6)*WACC!$B$28+WACC!$B$14*WACC!$B$29))^4.5-$B$11)/$B$9</f>
        <v/>
      </c>
      <c r="D143" s="70">
        <f>(H92/(1+((D$142+$A$143*WACC!$B$6)*WACC!$B$28+WACC!$B$14*WACC!$B$29))^0.5+I92/(1+((D$142+$A$143*WACC!$B$6)*WACC!$B$28+WACC!$B$14*WACC!$B$29))^1.5+J92/(1+((D$142+$A$143*WACC!$B$6)*WACC!$B$28+WACC!$B$14*WACC!$B$29))^2.5+K92/(1+((D$142+$A$143*WACC!$B$6)*WACC!$B$28+WACC!$B$14*WACC!$B$29))^3.5+L92/(1+((D$142+$A$143*WACC!$B$6)*WACC!$B$28+WACC!$B$14*WACC!$B$29))^4.5+(L92*(1+$B$56)/(((D$142+$A$143*WACC!$B$6)*WACC!$B$28+WACC!$B$14*WACC!$B$29)-$B$56))/(1+((D$142+$A$143*WACC!$B$6)*WACC!$B$28+WACC!$B$14*WACC!$B$29))^4.5-$B$11)/$B$9</f>
        <v/>
      </c>
      <c r="E143" s="70">
        <f>(H92/(1+((E$142+$A$143*WACC!$B$6)*WACC!$B$28+WACC!$B$14*WACC!$B$29))^0.5+I92/(1+((E$142+$A$143*WACC!$B$6)*WACC!$B$28+WACC!$B$14*WACC!$B$29))^1.5+J92/(1+((E$142+$A$143*WACC!$B$6)*WACC!$B$28+WACC!$B$14*WACC!$B$29))^2.5+K92/(1+((E$142+$A$143*WACC!$B$6)*WACC!$B$28+WACC!$B$14*WACC!$B$29))^3.5+L92/(1+((E$142+$A$143*WACC!$B$6)*WACC!$B$28+WACC!$B$14*WACC!$B$29))^4.5+(L92*(1+$B$56)/(((E$142+$A$143*WACC!$B$6)*WACC!$B$28+WACC!$B$14*WACC!$B$29)-$B$56))/(1+((E$142+$A$143*WACC!$B$6)*WACC!$B$28+WACC!$B$14*WACC!$B$29))^4.5-$B$11)/$B$9</f>
        <v/>
      </c>
      <c r="F143" s="71">
        <f>(H92/(1+((F$142+$A$143*WACC!$B$6)*WACC!$B$28+WACC!$B$14*WACC!$B$29))^0.5+I92/(1+((F$142+$A$143*WACC!$B$6)*WACC!$B$28+WACC!$B$14*WACC!$B$29))^1.5+J92/(1+((F$142+$A$143*WACC!$B$6)*WACC!$B$28+WACC!$B$14*WACC!$B$29))^2.5+K92/(1+((F$142+$A$143*WACC!$B$6)*WACC!$B$28+WACC!$B$14*WACC!$B$29))^3.5+L92/(1+((F$142+$A$143*WACC!$B$6)*WACC!$B$28+WACC!$B$14*WACC!$B$29))^4.5+(L92*(1+$B$56)/(((F$142+$A$143*WACC!$B$6)*WACC!$B$28+WACC!$B$14*WACC!$B$29)-$B$56))/(1+((F$142+$A$143*WACC!$B$6)*WACC!$B$28+WACC!$B$14*WACC!$B$29))^4.5-$B$11)/$B$9</f>
        <v/>
      </c>
    </row>
    <row r="144">
      <c r="A144" s="75" t="n">
        <v>1.1</v>
      </c>
      <c r="B144" s="70">
        <f>(H92/(1+((B$142+$A$144*WACC!$B$6)*WACC!$B$28+WACC!$B$14*WACC!$B$29))^0.5+I92/(1+((B$142+$A$144*WACC!$B$6)*WACC!$B$28+WACC!$B$14*WACC!$B$29))^1.5+J92/(1+((B$142+$A$144*WACC!$B$6)*WACC!$B$28+WACC!$B$14*WACC!$B$29))^2.5+K92/(1+((B$142+$A$144*WACC!$B$6)*WACC!$B$28+WACC!$B$14*WACC!$B$29))^3.5+L92/(1+((B$142+$A$144*WACC!$B$6)*WACC!$B$28+WACC!$B$14*WACC!$B$29))^4.5+(L92*(1+$B$56)/(((B$142+$A$144*WACC!$B$6)*WACC!$B$28+WACC!$B$14*WACC!$B$29)-$B$56))/(1+((B$142+$A$144*WACC!$B$6)*WACC!$B$28+WACC!$B$14*WACC!$B$29))^4.5-$B$11)/$B$9</f>
        <v/>
      </c>
      <c r="C144" s="70">
        <f>(H92/(1+((C$142+$A$144*WACC!$B$6)*WACC!$B$28+WACC!$B$14*WACC!$B$29))^0.5+I92/(1+((C$142+$A$144*WACC!$B$6)*WACC!$B$28+WACC!$B$14*WACC!$B$29))^1.5+J92/(1+((C$142+$A$144*WACC!$B$6)*WACC!$B$28+WACC!$B$14*WACC!$B$29))^2.5+K92/(1+((C$142+$A$144*WACC!$B$6)*WACC!$B$28+WACC!$B$14*WACC!$B$29))^3.5+L92/(1+((C$142+$A$144*WACC!$B$6)*WACC!$B$28+WACC!$B$14*WACC!$B$29))^4.5+(L92*(1+$B$56)/(((C$142+$A$144*WACC!$B$6)*WACC!$B$28+WACC!$B$14*WACC!$B$29)-$B$56))/(1+((C$142+$A$144*WACC!$B$6)*WACC!$B$28+WACC!$B$14*WACC!$B$29))^4.5-$B$11)/$B$9</f>
        <v/>
      </c>
      <c r="D144" s="70">
        <f>(H92/(1+((D$142+$A$144*WACC!$B$6)*WACC!$B$28+WACC!$B$14*WACC!$B$29))^0.5+I92/(1+((D$142+$A$144*WACC!$B$6)*WACC!$B$28+WACC!$B$14*WACC!$B$29))^1.5+J92/(1+((D$142+$A$144*WACC!$B$6)*WACC!$B$28+WACC!$B$14*WACC!$B$29))^2.5+K92/(1+((D$142+$A$144*WACC!$B$6)*WACC!$B$28+WACC!$B$14*WACC!$B$29))^3.5+L92/(1+((D$142+$A$144*WACC!$B$6)*WACC!$B$28+WACC!$B$14*WACC!$B$29))^4.5+(L92*(1+$B$56)/(((D$142+$A$144*WACC!$B$6)*WACC!$B$28+WACC!$B$14*WACC!$B$29)-$B$56))/(1+((D$142+$A$144*WACC!$B$6)*WACC!$B$28+WACC!$B$14*WACC!$B$29))^4.5-$B$11)/$B$9</f>
        <v/>
      </c>
      <c r="E144" s="70">
        <f>(H92/(1+((E$142+$A$144*WACC!$B$6)*WACC!$B$28+WACC!$B$14*WACC!$B$29))^0.5+I92/(1+((E$142+$A$144*WACC!$B$6)*WACC!$B$28+WACC!$B$14*WACC!$B$29))^1.5+J92/(1+((E$142+$A$144*WACC!$B$6)*WACC!$B$28+WACC!$B$14*WACC!$B$29))^2.5+K92/(1+((E$142+$A$144*WACC!$B$6)*WACC!$B$28+WACC!$B$14*WACC!$B$29))^3.5+L92/(1+((E$142+$A$144*WACC!$B$6)*WACC!$B$28+WACC!$B$14*WACC!$B$29))^4.5+(L92*(1+$B$56)/(((E$142+$A$144*WACC!$B$6)*WACC!$B$28+WACC!$B$14*WACC!$B$29)-$B$56))/(1+((E$142+$A$144*WACC!$B$6)*WACC!$B$28+WACC!$B$14*WACC!$B$29))^4.5-$B$11)/$B$9</f>
        <v/>
      </c>
      <c r="F144" s="71">
        <f>(H92/(1+((F$142+$A$144*WACC!$B$6)*WACC!$B$28+WACC!$B$14*WACC!$B$29))^0.5+I92/(1+((F$142+$A$144*WACC!$B$6)*WACC!$B$28+WACC!$B$14*WACC!$B$29))^1.5+J92/(1+((F$142+$A$144*WACC!$B$6)*WACC!$B$28+WACC!$B$14*WACC!$B$29))^2.5+K92/(1+((F$142+$A$144*WACC!$B$6)*WACC!$B$28+WACC!$B$14*WACC!$B$29))^3.5+L92/(1+((F$142+$A$144*WACC!$B$6)*WACC!$B$28+WACC!$B$14*WACC!$B$29))^4.5+(L92*(1+$B$56)/(((F$142+$A$144*WACC!$B$6)*WACC!$B$28+WACC!$B$14*WACC!$B$29)-$B$56))/(1+((F$142+$A$144*WACC!$B$6)*WACC!$B$28+WACC!$B$14*WACC!$B$29))^4.5-$B$11)/$B$9</f>
        <v/>
      </c>
    </row>
    <row r="145">
      <c r="A145" s="75" t="n">
        <v>1.2</v>
      </c>
      <c r="B145" s="70">
        <f>(H92/(1+((B$142+$A$145*WACC!$B$6)*WACC!$B$28+WACC!$B$14*WACC!$B$29))^0.5+I92/(1+((B$142+$A$145*WACC!$B$6)*WACC!$B$28+WACC!$B$14*WACC!$B$29))^1.5+J92/(1+((B$142+$A$145*WACC!$B$6)*WACC!$B$28+WACC!$B$14*WACC!$B$29))^2.5+K92/(1+((B$142+$A$145*WACC!$B$6)*WACC!$B$28+WACC!$B$14*WACC!$B$29))^3.5+L92/(1+((B$142+$A$145*WACC!$B$6)*WACC!$B$28+WACC!$B$14*WACC!$B$29))^4.5+(L92*(1+$B$56)/(((B$142+$A$145*WACC!$B$6)*WACC!$B$28+WACC!$B$14*WACC!$B$29)-$B$56))/(1+((B$142+$A$145*WACC!$B$6)*WACC!$B$28+WACC!$B$14*WACC!$B$29))^4.5-$B$11)/$B$9</f>
        <v/>
      </c>
      <c r="C145" s="70">
        <f>(H92/(1+((C$142+$A$145*WACC!$B$6)*WACC!$B$28+WACC!$B$14*WACC!$B$29))^0.5+I92/(1+((C$142+$A$145*WACC!$B$6)*WACC!$B$28+WACC!$B$14*WACC!$B$29))^1.5+J92/(1+((C$142+$A$145*WACC!$B$6)*WACC!$B$28+WACC!$B$14*WACC!$B$29))^2.5+K92/(1+((C$142+$A$145*WACC!$B$6)*WACC!$B$28+WACC!$B$14*WACC!$B$29))^3.5+L92/(1+((C$142+$A$145*WACC!$B$6)*WACC!$B$28+WACC!$B$14*WACC!$B$29))^4.5+(L92*(1+$B$56)/(((C$142+$A$145*WACC!$B$6)*WACC!$B$28+WACC!$B$14*WACC!$B$29)-$B$56))/(1+((C$142+$A$145*WACC!$B$6)*WACC!$B$28+WACC!$B$14*WACC!$B$29))^4.5-$B$11)/$B$9</f>
        <v/>
      </c>
      <c r="D145" s="70">
        <f>(H92/(1+((D$142+$A$145*WACC!$B$6)*WACC!$B$28+WACC!$B$14*WACC!$B$29))^0.5+I92/(1+((D$142+$A$145*WACC!$B$6)*WACC!$B$28+WACC!$B$14*WACC!$B$29))^1.5+J92/(1+((D$142+$A$145*WACC!$B$6)*WACC!$B$28+WACC!$B$14*WACC!$B$29))^2.5+K92/(1+((D$142+$A$145*WACC!$B$6)*WACC!$B$28+WACC!$B$14*WACC!$B$29))^3.5+L92/(1+((D$142+$A$145*WACC!$B$6)*WACC!$B$28+WACC!$B$14*WACC!$B$29))^4.5+(L92*(1+$B$56)/(((D$142+$A$145*WACC!$B$6)*WACC!$B$28+WACC!$B$14*WACC!$B$29)-$B$56))/(1+((D$142+$A$145*WACC!$B$6)*WACC!$B$28+WACC!$B$14*WACC!$B$29))^4.5-$B$11)/$B$9</f>
        <v/>
      </c>
      <c r="E145" s="70">
        <f>(H92/(1+((E$142+$A$145*WACC!$B$6)*WACC!$B$28+WACC!$B$14*WACC!$B$29))^0.5+I92/(1+((E$142+$A$145*WACC!$B$6)*WACC!$B$28+WACC!$B$14*WACC!$B$29))^1.5+J92/(1+((E$142+$A$145*WACC!$B$6)*WACC!$B$28+WACC!$B$14*WACC!$B$29))^2.5+K92/(1+((E$142+$A$145*WACC!$B$6)*WACC!$B$28+WACC!$B$14*WACC!$B$29))^3.5+L92/(1+((E$142+$A$145*WACC!$B$6)*WACC!$B$28+WACC!$B$14*WACC!$B$29))^4.5+(L92*(1+$B$56)/(((E$142+$A$145*WACC!$B$6)*WACC!$B$28+WACC!$B$14*WACC!$B$29)-$B$56))/(1+((E$142+$A$145*WACC!$B$6)*WACC!$B$28+WACC!$B$14*WACC!$B$29))^4.5-$B$11)/$B$9</f>
        <v/>
      </c>
      <c r="F145" s="71">
        <f>(H92/(1+((F$142+$A$145*WACC!$B$6)*WACC!$B$28+WACC!$B$14*WACC!$B$29))^0.5+I92/(1+((F$142+$A$145*WACC!$B$6)*WACC!$B$28+WACC!$B$14*WACC!$B$29))^1.5+J92/(1+((F$142+$A$145*WACC!$B$6)*WACC!$B$28+WACC!$B$14*WACC!$B$29))^2.5+K92/(1+((F$142+$A$145*WACC!$B$6)*WACC!$B$28+WACC!$B$14*WACC!$B$29))^3.5+L92/(1+((F$142+$A$145*WACC!$B$6)*WACC!$B$28+WACC!$B$14*WACC!$B$29))^4.5+(L92*(1+$B$56)/(((F$142+$A$145*WACC!$B$6)*WACC!$B$28+WACC!$B$14*WACC!$B$29)-$B$56))/(1+((F$142+$A$145*WACC!$B$6)*WACC!$B$28+WACC!$B$14*WACC!$B$29))^4.5-$B$11)/$B$9</f>
        <v/>
      </c>
    </row>
    <row r="146">
      <c r="A146" s="75" t="n">
        <v>1.3</v>
      </c>
      <c r="B146" s="70">
        <f>(H92/(1+((B$142+$A$146*WACC!$B$6)*WACC!$B$28+WACC!$B$14*WACC!$B$29))^0.5+I92/(1+((B$142+$A$146*WACC!$B$6)*WACC!$B$28+WACC!$B$14*WACC!$B$29))^1.5+J92/(1+((B$142+$A$146*WACC!$B$6)*WACC!$B$28+WACC!$B$14*WACC!$B$29))^2.5+K92/(1+((B$142+$A$146*WACC!$B$6)*WACC!$B$28+WACC!$B$14*WACC!$B$29))^3.5+L92/(1+((B$142+$A$146*WACC!$B$6)*WACC!$B$28+WACC!$B$14*WACC!$B$29))^4.5+(L92*(1+$B$56)/(((B$142+$A$146*WACC!$B$6)*WACC!$B$28+WACC!$B$14*WACC!$B$29)-$B$56))/(1+((B$142+$A$146*WACC!$B$6)*WACC!$B$28+WACC!$B$14*WACC!$B$29))^4.5-$B$11)/$B$9</f>
        <v/>
      </c>
      <c r="C146" s="70">
        <f>(H92/(1+((C$142+$A$146*WACC!$B$6)*WACC!$B$28+WACC!$B$14*WACC!$B$29))^0.5+I92/(1+((C$142+$A$146*WACC!$B$6)*WACC!$B$28+WACC!$B$14*WACC!$B$29))^1.5+J92/(1+((C$142+$A$146*WACC!$B$6)*WACC!$B$28+WACC!$B$14*WACC!$B$29))^2.5+K92/(1+((C$142+$A$146*WACC!$B$6)*WACC!$B$28+WACC!$B$14*WACC!$B$29))^3.5+L92/(1+((C$142+$A$146*WACC!$B$6)*WACC!$B$28+WACC!$B$14*WACC!$B$29))^4.5+(L92*(1+$B$56)/(((C$142+$A$146*WACC!$B$6)*WACC!$B$28+WACC!$B$14*WACC!$B$29)-$B$56))/(1+((C$142+$A$146*WACC!$B$6)*WACC!$B$28+WACC!$B$14*WACC!$B$29))^4.5-$B$11)/$B$9</f>
        <v/>
      </c>
      <c r="D146" s="70">
        <f>(H92/(1+((D$142+$A$146*WACC!$B$6)*WACC!$B$28+WACC!$B$14*WACC!$B$29))^0.5+I92/(1+((D$142+$A$146*WACC!$B$6)*WACC!$B$28+WACC!$B$14*WACC!$B$29))^1.5+J92/(1+((D$142+$A$146*WACC!$B$6)*WACC!$B$28+WACC!$B$14*WACC!$B$29))^2.5+K92/(1+((D$142+$A$146*WACC!$B$6)*WACC!$B$28+WACC!$B$14*WACC!$B$29))^3.5+L92/(1+((D$142+$A$146*WACC!$B$6)*WACC!$B$28+WACC!$B$14*WACC!$B$29))^4.5+(L92*(1+$B$56)/(((D$142+$A$146*WACC!$B$6)*WACC!$B$28+WACC!$B$14*WACC!$B$29)-$B$56))/(1+((D$142+$A$146*WACC!$B$6)*WACC!$B$28+WACC!$B$14*WACC!$B$29))^4.5-$B$11)/$B$9</f>
        <v/>
      </c>
      <c r="E146" s="70">
        <f>(H92/(1+((E$142+$A$146*WACC!$B$6)*WACC!$B$28+WACC!$B$14*WACC!$B$29))^0.5+I92/(1+((E$142+$A$146*WACC!$B$6)*WACC!$B$28+WACC!$B$14*WACC!$B$29))^1.5+J92/(1+((E$142+$A$146*WACC!$B$6)*WACC!$B$28+WACC!$B$14*WACC!$B$29))^2.5+K92/(1+((E$142+$A$146*WACC!$B$6)*WACC!$B$28+WACC!$B$14*WACC!$B$29))^3.5+L92/(1+((E$142+$A$146*WACC!$B$6)*WACC!$B$28+WACC!$B$14*WACC!$B$29))^4.5+(L92*(1+$B$56)/(((E$142+$A$146*WACC!$B$6)*WACC!$B$28+WACC!$B$14*WACC!$B$29)-$B$56))/(1+((E$142+$A$146*WACC!$B$6)*WACC!$B$28+WACC!$B$14*WACC!$B$29))^4.5-$B$11)/$B$9</f>
        <v/>
      </c>
      <c r="F146" s="71">
        <f>(H92/(1+((F$142+$A$146*WACC!$B$6)*WACC!$B$28+WACC!$B$14*WACC!$B$29))^0.5+I92/(1+((F$142+$A$146*WACC!$B$6)*WACC!$B$28+WACC!$B$14*WACC!$B$29))^1.5+J92/(1+((F$142+$A$146*WACC!$B$6)*WACC!$B$28+WACC!$B$14*WACC!$B$29))^2.5+K92/(1+((F$142+$A$146*WACC!$B$6)*WACC!$B$28+WACC!$B$14*WACC!$B$29))^3.5+L92/(1+((F$142+$A$146*WACC!$B$6)*WACC!$B$28+WACC!$B$14*WACC!$B$29))^4.5+(L92*(1+$B$56)/(((F$142+$A$146*WACC!$B$6)*WACC!$B$28+WACC!$B$14*WACC!$B$29)-$B$56))/(1+((F$142+$A$146*WACC!$B$6)*WACC!$B$28+WACC!$B$14*WACC!$B$29))^4.5-$B$11)/$B$9</f>
        <v/>
      </c>
    </row>
    <row r="147">
      <c r="A147" s="76" t="n">
        <v>1.4</v>
      </c>
      <c r="B147" s="73">
        <f>(H92/(1+((B$142+$A$147*WACC!$B$6)*WACC!$B$28+WACC!$B$14*WACC!$B$29))^0.5+I92/(1+((B$142+$A$147*WACC!$B$6)*WACC!$B$28+WACC!$B$14*WACC!$B$29))^1.5+J92/(1+((B$142+$A$147*WACC!$B$6)*WACC!$B$28+WACC!$B$14*WACC!$B$29))^2.5+K92/(1+((B$142+$A$147*WACC!$B$6)*WACC!$B$28+WACC!$B$14*WACC!$B$29))^3.5+L92/(1+((B$142+$A$147*WACC!$B$6)*WACC!$B$28+WACC!$B$14*WACC!$B$29))^4.5+(L92*(1+$B$56)/(((B$142+$A$147*WACC!$B$6)*WACC!$B$28+WACC!$B$14*WACC!$B$29)-$B$56))/(1+((B$142+$A$147*WACC!$B$6)*WACC!$B$28+WACC!$B$14*WACC!$B$29))^4.5-$B$11)/$B$9</f>
        <v/>
      </c>
      <c r="C147" s="73">
        <f>(H92/(1+((C$142+$A$147*WACC!$B$6)*WACC!$B$28+WACC!$B$14*WACC!$B$29))^0.5+I92/(1+((C$142+$A$147*WACC!$B$6)*WACC!$B$28+WACC!$B$14*WACC!$B$29))^1.5+J92/(1+((C$142+$A$147*WACC!$B$6)*WACC!$B$28+WACC!$B$14*WACC!$B$29))^2.5+K92/(1+((C$142+$A$147*WACC!$B$6)*WACC!$B$28+WACC!$B$14*WACC!$B$29))^3.5+L92/(1+((C$142+$A$147*WACC!$B$6)*WACC!$B$28+WACC!$B$14*WACC!$B$29))^4.5+(L92*(1+$B$56)/(((C$142+$A$147*WACC!$B$6)*WACC!$B$28+WACC!$B$14*WACC!$B$29)-$B$56))/(1+((C$142+$A$147*WACC!$B$6)*WACC!$B$28+WACC!$B$14*WACC!$B$29))^4.5-$B$11)/$B$9</f>
        <v/>
      </c>
      <c r="D147" s="73">
        <f>(H92/(1+((D$142+$A$147*WACC!$B$6)*WACC!$B$28+WACC!$B$14*WACC!$B$29))^0.5+I92/(1+((D$142+$A$147*WACC!$B$6)*WACC!$B$28+WACC!$B$14*WACC!$B$29))^1.5+J92/(1+((D$142+$A$147*WACC!$B$6)*WACC!$B$28+WACC!$B$14*WACC!$B$29))^2.5+K92/(1+((D$142+$A$147*WACC!$B$6)*WACC!$B$28+WACC!$B$14*WACC!$B$29))^3.5+L92/(1+((D$142+$A$147*WACC!$B$6)*WACC!$B$28+WACC!$B$14*WACC!$B$29))^4.5+(L92*(1+$B$56)/(((D$142+$A$147*WACC!$B$6)*WACC!$B$28+WACC!$B$14*WACC!$B$29)-$B$56))/(1+((D$142+$A$147*WACC!$B$6)*WACC!$B$28+WACC!$B$14*WACC!$B$29))^4.5-$B$11)/$B$9</f>
        <v/>
      </c>
      <c r="E147" s="73">
        <f>(H92/(1+((E$142+$A$147*WACC!$B$6)*WACC!$B$28+WACC!$B$14*WACC!$B$29))^0.5+I92/(1+((E$142+$A$147*WACC!$B$6)*WACC!$B$28+WACC!$B$14*WACC!$B$29))^1.5+J92/(1+((E$142+$A$147*WACC!$B$6)*WACC!$B$28+WACC!$B$14*WACC!$B$29))^2.5+K92/(1+((E$142+$A$147*WACC!$B$6)*WACC!$B$28+WACC!$B$14*WACC!$B$29))^3.5+L92/(1+((E$142+$A$147*WACC!$B$6)*WACC!$B$28+WACC!$B$14*WACC!$B$29))^4.5+(L92*(1+$B$56)/(((E$142+$A$147*WACC!$B$6)*WACC!$B$28+WACC!$B$14*WACC!$B$29)-$B$56))/(1+((E$142+$A$147*WACC!$B$6)*WACC!$B$28+WACC!$B$14*WACC!$B$29))^4.5-$B$11)/$B$9</f>
        <v/>
      </c>
      <c r="F147" s="74">
        <f>(H92/(1+((F$142+$A$147*WACC!$B$6)*WACC!$B$28+WACC!$B$14*WACC!$B$29))^0.5+I92/(1+((F$142+$A$147*WACC!$B$6)*WACC!$B$28+WACC!$B$14*WACC!$B$29))^1.5+J92/(1+((F$142+$A$147*WACC!$B$6)*WACC!$B$28+WACC!$B$14*WACC!$B$29))^2.5+K92/(1+((F$142+$A$147*WACC!$B$6)*WACC!$B$28+WACC!$B$14*WACC!$B$29))^3.5+L92/(1+((F$142+$A$147*WACC!$B$6)*WACC!$B$28+WACC!$B$14*WACC!$B$29))^4.5+(L92*(1+$B$56)/(((F$142+$A$147*WACC!$B$6)*WACC!$B$28+WACC!$B$14*WACC!$B$29)-$B$56))/(1+((F$142+$A$147*WACC!$B$6)*WACC!$B$28+WACC!$B$14*WACC!$B$29))^4.5-$B$11)/$B$9</f>
        <v/>
      </c>
    </row>
  </sheetData>
  <pageMargins left="0.75" right="0.75" top="1" bottom="1" header="0.5" footer="0.5"/>
  <legacyDrawing xmlns:r="http://schemas.openxmlformats.org/officeDocument/2006/relationships" r:id="anysvml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31"/>
  <sheetViews>
    <sheetView workbookViewId="0">
      <selection activeCell="A1" sqref="A1"/>
    </sheetView>
  </sheetViews>
  <sheetFormatPr baseColWidth="8" defaultRowHeight="15"/>
  <cols>
    <col width="35" customWidth="1" min="1" max="1"/>
    <col width="18" customWidth="1" min="2" max="2"/>
    <col width="14" customWidth="1" min="3" max="3"/>
    <col width="14" customWidth="1" min="4" max="4"/>
  </cols>
  <sheetData>
    <row r="1">
      <c r="A1" s="1" t="inlineStr">
        <is>
          <t>Amazon.com, Inc. (AMZN) - WACC Calculation</t>
        </is>
      </c>
    </row>
    <row r="2">
      <c r="A2" s="2" t="inlineStr">
        <is>
          <t>As of February 25, 2026</t>
        </is>
      </c>
    </row>
    <row r="4">
      <c r="A4" s="6" t="inlineStr">
        <is>
          <t>COST OF EQUITY (CAPM)</t>
        </is>
      </c>
      <c r="B4" s="8" t="n"/>
    </row>
    <row r="5">
      <c r="A5" s="9" t="inlineStr">
        <is>
          <t>Risk-Free Rate (10Y Treasury)</t>
        </is>
      </c>
      <c r="B5" s="46" t="n">
        <v>0.0424</v>
      </c>
    </row>
    <row r="6">
      <c r="A6" s="9" t="inlineStr">
        <is>
          <t>Equity Risk Premium</t>
        </is>
      </c>
      <c r="B6" s="46" t="n">
        <v>0.055</v>
      </c>
    </row>
    <row r="7">
      <c r="A7" s="9" t="inlineStr">
        <is>
          <t>Beta (5Y Monthly)</t>
        </is>
      </c>
      <c r="B7" s="32" t="n">
        <v>1.39</v>
      </c>
    </row>
    <row r="8">
      <c r="A8" s="30" t="inlineStr">
        <is>
          <t>Cost of Equity</t>
        </is>
      </c>
      <c r="B8" s="56">
        <f>B5+B7*B6</f>
        <v/>
      </c>
    </row>
    <row r="10">
      <c r="A10" s="6" t="inlineStr">
        <is>
          <t>COST OF DEBT</t>
        </is>
      </c>
      <c r="B10" s="8" t="n"/>
    </row>
    <row r="11">
      <c r="A11" s="9" t="inlineStr">
        <is>
          <t>Credit Rating (S&amp;P / Moody's)</t>
        </is>
      </c>
      <c r="B11" s="34" t="inlineStr">
        <is>
          <t>AA / A1</t>
        </is>
      </c>
    </row>
    <row r="12">
      <c r="A12" s="9" t="inlineStr">
        <is>
          <t>Pre-Tax Cost of Debt</t>
        </is>
      </c>
      <c r="B12" s="46" t="n">
        <v>0.045</v>
      </c>
    </row>
    <row r="13">
      <c r="A13" s="9" t="inlineStr">
        <is>
          <t>Tax Rate</t>
        </is>
      </c>
      <c r="B13" s="46" t="n">
        <v>0.21</v>
      </c>
    </row>
    <row r="14">
      <c r="A14" s="30" t="inlineStr">
        <is>
          <t>After-Tax Cost of Debt</t>
        </is>
      </c>
      <c r="B14" s="56">
        <f>B12*(1-B13)</f>
        <v/>
      </c>
    </row>
    <row r="16">
      <c r="A16" s="6" t="inlineStr">
        <is>
          <t>CAPITAL STRUCTURE</t>
        </is>
      </c>
      <c r="B16" s="8" t="n"/>
    </row>
    <row r="17">
      <c r="A17" s="9" t="inlineStr">
        <is>
          <t>Current Stock Price</t>
        </is>
      </c>
      <c r="B17" s="57" t="n">
        <v>212.28</v>
      </c>
    </row>
    <row r="18">
      <c r="A18" s="9" t="inlineStr">
        <is>
          <t>Diluted Shares Outstanding (M)</t>
        </is>
      </c>
      <c r="B18" s="36" t="n">
        <v>10720</v>
      </c>
    </row>
    <row r="19">
      <c r="A19" s="27" t="inlineStr">
        <is>
          <t>Market Capitalization ($M)</t>
        </is>
      </c>
      <c r="B19" s="53">
        <f>B17*B18</f>
        <v/>
      </c>
    </row>
    <row r="20">
      <c r="A20" s="38" t="n"/>
      <c r="B20" s="12" t="n"/>
    </row>
    <row r="21">
      <c r="A21" s="9" t="inlineStr">
        <is>
          <t>Total Debt ($M)</t>
        </is>
      </c>
      <c r="B21" s="58" t="n">
        <v>57952</v>
      </c>
    </row>
    <row r="22">
      <c r="A22" s="9" t="inlineStr">
        <is>
          <t>Cash &amp; Short-Term Investments ($M)</t>
        </is>
      </c>
      <c r="B22" s="58" t="n">
        <v>101202</v>
      </c>
    </row>
    <row r="23">
      <c r="A23" s="27" t="inlineStr">
        <is>
          <t>Net Debt ($M)</t>
        </is>
      </c>
      <c r="B23" s="53">
        <f>B21-B22</f>
        <v/>
      </c>
    </row>
    <row r="24">
      <c r="A24" s="38" t="n"/>
      <c r="B24" s="12" t="n"/>
    </row>
    <row r="25">
      <c r="A25" s="30" t="inlineStr">
        <is>
          <t>Enterprise Value ($M)</t>
        </is>
      </c>
      <c r="B25" s="55">
        <f>B19+B23</f>
        <v/>
      </c>
    </row>
    <row r="27">
      <c r="A27" s="6" t="inlineStr">
        <is>
          <t>WACC CALCULATION</t>
        </is>
      </c>
      <c r="B27" s="7" t="n"/>
      <c r="C27" s="7" t="n"/>
      <c r="D27" s="8" t="n"/>
    </row>
    <row r="28">
      <c r="A28" s="9" t="inlineStr">
        <is>
          <t>Equity</t>
        </is>
      </c>
      <c r="B28" s="48">
        <f>B19/B25</f>
        <v/>
      </c>
      <c r="C28" s="48">
        <f>B8</f>
        <v/>
      </c>
      <c r="D28" s="49">
        <f>B28*C28</f>
        <v/>
      </c>
    </row>
    <row r="29">
      <c r="A29" s="9" t="inlineStr">
        <is>
          <t>Debt</t>
        </is>
      </c>
      <c r="B29" s="48">
        <f>B23/B25</f>
        <v/>
      </c>
      <c r="C29" s="48">
        <f>B14</f>
        <v/>
      </c>
      <c r="D29" s="49">
        <f>B29*C29</f>
        <v/>
      </c>
    </row>
    <row r="30">
      <c r="A30" s="38" t="n"/>
      <c r="B30" s="11" t="n"/>
      <c r="C30" s="11" t="n"/>
      <c r="D30" s="12" t="n"/>
    </row>
    <row r="31">
      <c r="A31" s="30" t="inlineStr">
        <is>
          <t>WEIGHTED AVERAGE COST OF CAPITAL</t>
        </is>
      </c>
      <c r="B31" s="59">
        <f>D28+D29</f>
        <v/>
      </c>
      <c r="C31" s="17" t="n"/>
      <c r="D31" s="18" t="n"/>
    </row>
  </sheetData>
  <pageMargins left="0.75" right="0.75" top="1" bottom="1" header="0.5" footer="0.5"/>
  <legacyDrawing xmlns:r="http://schemas.openxmlformats.org/officeDocument/2006/relationships" r:id="anysvml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2026-02-26T06:17:07Z</dcterms:created>
  <dcterms:modified xmlns:dcterms="http://purl.org/dc/terms/" xmlns:xsi="http://www.w3.org/2001/XMLSchema-instance" xsi:type="dcterms:W3CDTF">2026-02-26T06:19:55Z</dcterms:modified>
</cp:coreProperties>
</file>